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0F94AD5F-1A52-FF48-ACFD-A1E626CC43A5}" xr6:coauthVersionLast="47" xr6:coauthVersionMax="47" xr10:uidLastSave="{00000000-0000-0000-0000-000000000000}"/>
  <bookViews>
    <workbookView xWindow="7260" yWindow="4880" windowWidth="27240" windowHeight="16180" xr2:uid="{14852308-A811-034C-88D5-3C94C0983EA9}"/>
  </bookViews>
  <sheets>
    <sheet name="AT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B3" i="1"/>
  <c r="N2" i="1" s="1" a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0" i="1"/>
  <c r="C370" i="1"/>
  <c r="B371" i="1"/>
  <c r="C371" i="1"/>
  <c r="B372" i="1"/>
  <c r="C372" i="1"/>
  <c r="B373" i="1"/>
  <c r="C373" i="1"/>
  <c r="B374" i="1"/>
  <c r="C374" i="1"/>
  <c r="B375" i="1"/>
  <c r="C375" i="1"/>
  <c r="B376" i="1"/>
  <c r="C376" i="1"/>
  <c r="B377" i="1"/>
  <c r="C377" i="1"/>
  <c r="B378" i="1"/>
  <c r="C378" i="1"/>
  <c r="B379" i="1"/>
  <c r="C379" i="1"/>
  <c r="B380" i="1"/>
  <c r="C380" i="1"/>
  <c r="B381" i="1"/>
  <c r="C381" i="1"/>
  <c r="B382" i="1"/>
  <c r="C382" i="1"/>
  <c r="B383" i="1"/>
  <c r="C383" i="1"/>
  <c r="B384" i="1"/>
  <c r="C384" i="1"/>
  <c r="B385" i="1"/>
  <c r="C385" i="1"/>
  <c r="B386" i="1"/>
  <c r="C386" i="1"/>
  <c r="B387" i="1"/>
  <c r="C387" i="1"/>
  <c r="B388" i="1"/>
  <c r="C388" i="1"/>
  <c r="B389" i="1"/>
  <c r="C389" i="1"/>
  <c r="B390" i="1"/>
  <c r="C390" i="1"/>
  <c r="B391" i="1"/>
  <c r="C391" i="1"/>
  <c r="B392" i="1"/>
  <c r="C392" i="1"/>
  <c r="B393" i="1"/>
  <c r="C393" i="1"/>
  <c r="B394" i="1"/>
  <c r="C394" i="1"/>
  <c r="B395" i="1"/>
  <c r="C395" i="1"/>
  <c r="B396" i="1"/>
  <c r="C396" i="1"/>
  <c r="B397" i="1"/>
  <c r="C397" i="1"/>
  <c r="B398" i="1"/>
  <c r="C398" i="1"/>
  <c r="B399" i="1"/>
  <c r="C399" i="1"/>
  <c r="B400" i="1"/>
  <c r="C400" i="1"/>
  <c r="B401" i="1"/>
  <c r="C401" i="1"/>
  <c r="B402" i="1"/>
  <c r="C402" i="1"/>
  <c r="B403" i="1"/>
  <c r="C403" i="1"/>
  <c r="B404" i="1"/>
  <c r="C404" i="1"/>
  <c r="B405" i="1"/>
  <c r="C405" i="1"/>
  <c r="B406" i="1"/>
  <c r="C406" i="1"/>
  <c r="B407" i="1"/>
  <c r="C407" i="1"/>
  <c r="B408" i="1"/>
  <c r="C408" i="1"/>
  <c r="B409" i="1"/>
  <c r="C409" i="1"/>
  <c r="B410" i="1"/>
  <c r="C410" i="1"/>
  <c r="B411" i="1"/>
  <c r="C411" i="1"/>
  <c r="B412" i="1"/>
  <c r="C412" i="1"/>
  <c r="B413" i="1"/>
  <c r="C413" i="1"/>
  <c r="B414" i="1"/>
  <c r="C414" i="1"/>
  <c r="B415" i="1"/>
  <c r="C415" i="1"/>
  <c r="B416" i="1"/>
  <c r="C416" i="1"/>
  <c r="B417" i="1"/>
  <c r="C417" i="1"/>
  <c r="B418" i="1"/>
  <c r="C418" i="1"/>
  <c r="B419" i="1"/>
  <c r="C419" i="1"/>
  <c r="B420" i="1"/>
  <c r="C420" i="1"/>
  <c r="B421" i="1"/>
  <c r="C421" i="1"/>
  <c r="B422" i="1"/>
  <c r="C422" i="1"/>
  <c r="B423" i="1"/>
  <c r="C423" i="1"/>
  <c r="B424" i="1"/>
  <c r="C424" i="1"/>
  <c r="B425" i="1"/>
  <c r="C425" i="1"/>
  <c r="B426" i="1"/>
  <c r="C426" i="1"/>
  <c r="B427" i="1"/>
  <c r="C427" i="1"/>
  <c r="B428" i="1"/>
  <c r="C428" i="1"/>
  <c r="B429" i="1"/>
  <c r="C429" i="1"/>
  <c r="B430" i="1"/>
  <c r="C430" i="1"/>
  <c r="B431" i="1"/>
  <c r="C431" i="1"/>
  <c r="B432" i="1"/>
  <c r="C432" i="1"/>
  <c r="B433" i="1"/>
  <c r="C433" i="1"/>
  <c r="B434" i="1"/>
  <c r="C434" i="1"/>
  <c r="B435" i="1"/>
  <c r="C435" i="1"/>
  <c r="B436" i="1"/>
  <c r="C436" i="1"/>
  <c r="B437" i="1"/>
  <c r="C437" i="1"/>
  <c r="B438" i="1"/>
  <c r="C438" i="1"/>
  <c r="B439" i="1"/>
  <c r="C439" i="1"/>
  <c r="B440" i="1"/>
  <c r="C440" i="1"/>
  <c r="B441" i="1"/>
  <c r="C441" i="1"/>
  <c r="B442" i="1"/>
  <c r="C442" i="1"/>
  <c r="B443" i="1"/>
  <c r="C443" i="1"/>
  <c r="B444" i="1"/>
  <c r="C444" i="1"/>
  <c r="B445" i="1"/>
  <c r="C445" i="1"/>
  <c r="B446" i="1"/>
  <c r="C446" i="1"/>
  <c r="B447" i="1"/>
  <c r="C447" i="1"/>
  <c r="B448" i="1"/>
  <c r="C448" i="1"/>
  <c r="B449" i="1"/>
  <c r="C449" i="1"/>
  <c r="B450" i="1"/>
  <c r="C450" i="1"/>
  <c r="B451" i="1"/>
  <c r="C451" i="1"/>
  <c r="B452" i="1"/>
  <c r="C452" i="1"/>
  <c r="B453" i="1"/>
  <c r="C453" i="1"/>
  <c r="B454" i="1"/>
  <c r="C454" i="1"/>
  <c r="B455" i="1"/>
  <c r="C455" i="1"/>
  <c r="B456" i="1"/>
  <c r="C456" i="1"/>
  <c r="B457" i="1"/>
  <c r="C457" i="1"/>
  <c r="B458" i="1"/>
  <c r="C458" i="1"/>
  <c r="B459" i="1"/>
  <c r="C459" i="1"/>
  <c r="B460" i="1"/>
  <c r="C460" i="1"/>
  <c r="B461" i="1"/>
  <c r="C461" i="1"/>
  <c r="B462" i="1"/>
  <c r="C462" i="1"/>
  <c r="B463" i="1"/>
  <c r="C463" i="1"/>
  <c r="B464" i="1"/>
  <c r="C464" i="1"/>
  <c r="B465" i="1"/>
  <c r="C465" i="1"/>
  <c r="B466" i="1"/>
  <c r="C466" i="1"/>
  <c r="B467" i="1"/>
  <c r="C467" i="1"/>
  <c r="B468" i="1"/>
  <c r="C468" i="1"/>
  <c r="B469" i="1"/>
  <c r="C469" i="1"/>
  <c r="B470" i="1"/>
  <c r="C470" i="1"/>
  <c r="B471" i="1"/>
  <c r="C471" i="1"/>
  <c r="B472" i="1"/>
  <c r="C472" i="1"/>
  <c r="B473" i="1"/>
  <c r="C473" i="1"/>
  <c r="B474" i="1"/>
  <c r="C474" i="1"/>
  <c r="B475" i="1"/>
  <c r="C475" i="1"/>
  <c r="B476" i="1"/>
  <c r="C476" i="1"/>
  <c r="B477" i="1"/>
  <c r="C477" i="1"/>
  <c r="B478" i="1"/>
  <c r="C478" i="1"/>
  <c r="B479" i="1"/>
  <c r="C479" i="1"/>
  <c r="B480" i="1"/>
  <c r="C480" i="1"/>
  <c r="B481" i="1"/>
  <c r="C481" i="1"/>
  <c r="B482" i="1"/>
  <c r="C482" i="1"/>
  <c r="B483" i="1"/>
  <c r="C483" i="1"/>
  <c r="B484" i="1"/>
  <c r="C484" i="1"/>
  <c r="B485" i="1"/>
  <c r="C485" i="1"/>
  <c r="B486" i="1"/>
  <c r="C486" i="1"/>
  <c r="B487" i="1"/>
  <c r="C487" i="1"/>
  <c r="B488" i="1"/>
  <c r="C488" i="1"/>
  <c r="B489" i="1"/>
  <c r="C489" i="1"/>
  <c r="B490" i="1"/>
  <c r="C490" i="1"/>
  <c r="B491" i="1"/>
  <c r="C491" i="1"/>
  <c r="B492" i="1"/>
  <c r="C492" i="1"/>
  <c r="B493" i="1"/>
  <c r="C493" i="1"/>
  <c r="B494" i="1"/>
  <c r="C494" i="1"/>
  <c r="B495" i="1"/>
  <c r="C495" i="1"/>
  <c r="B496" i="1"/>
  <c r="C496" i="1"/>
  <c r="B497" i="1"/>
  <c r="C497" i="1"/>
  <c r="B498" i="1"/>
  <c r="C498" i="1"/>
  <c r="B499" i="1"/>
  <c r="C499" i="1"/>
  <c r="B500" i="1"/>
  <c r="C500" i="1"/>
  <c r="B501" i="1"/>
  <c r="C501" i="1"/>
  <c r="B502" i="1"/>
  <c r="C502" i="1"/>
  <c r="B503" i="1"/>
  <c r="C503" i="1"/>
  <c r="B504" i="1"/>
  <c r="C504" i="1"/>
  <c r="B505" i="1"/>
  <c r="C505" i="1"/>
  <c r="B506" i="1"/>
  <c r="C506" i="1"/>
  <c r="B507" i="1"/>
  <c r="C507" i="1"/>
  <c r="B508" i="1"/>
  <c r="C508" i="1"/>
  <c r="B509" i="1"/>
  <c r="C509" i="1"/>
  <c r="B510" i="1"/>
  <c r="C510" i="1"/>
  <c r="B511" i="1"/>
  <c r="C511" i="1"/>
  <c r="B512" i="1"/>
  <c r="C512" i="1"/>
  <c r="B513" i="1"/>
  <c r="C513" i="1"/>
  <c r="B514" i="1"/>
  <c r="C514" i="1"/>
  <c r="B515" i="1"/>
  <c r="C515" i="1"/>
  <c r="B516" i="1"/>
  <c r="C516" i="1"/>
  <c r="B517" i="1"/>
  <c r="C517" i="1"/>
  <c r="B518" i="1"/>
  <c r="C518" i="1"/>
  <c r="B519" i="1"/>
  <c r="C519" i="1"/>
  <c r="B520" i="1"/>
  <c r="C520" i="1"/>
  <c r="B521" i="1"/>
  <c r="C521" i="1"/>
  <c r="B522" i="1"/>
  <c r="C522" i="1"/>
  <c r="B523" i="1"/>
  <c r="C523" i="1"/>
  <c r="B524" i="1"/>
  <c r="C524" i="1"/>
  <c r="B525" i="1"/>
  <c r="C525" i="1"/>
  <c r="B526" i="1"/>
  <c r="C526" i="1"/>
  <c r="B527" i="1"/>
  <c r="C527" i="1"/>
  <c r="B528" i="1"/>
  <c r="C528" i="1"/>
  <c r="B529" i="1"/>
  <c r="C529" i="1"/>
  <c r="B530" i="1"/>
  <c r="C530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15" i="1"/>
  <c r="C615" i="1"/>
  <c r="B616" i="1"/>
  <c r="C616" i="1"/>
  <c r="B617" i="1"/>
  <c r="C617" i="1"/>
  <c r="B618" i="1"/>
  <c r="C618" i="1"/>
  <c r="B619" i="1"/>
  <c r="C619" i="1"/>
  <c r="B620" i="1"/>
  <c r="C620" i="1"/>
  <c r="B621" i="1"/>
  <c r="C621" i="1"/>
  <c r="B622" i="1"/>
  <c r="C622" i="1"/>
  <c r="B623" i="1"/>
  <c r="C623" i="1"/>
  <c r="B624" i="1"/>
  <c r="C624" i="1"/>
  <c r="B625" i="1"/>
  <c r="C625" i="1"/>
  <c r="B626" i="1"/>
  <c r="C626" i="1"/>
  <c r="B627" i="1"/>
  <c r="C627" i="1"/>
  <c r="B628" i="1"/>
  <c r="C628" i="1"/>
  <c r="B629" i="1"/>
  <c r="C629" i="1"/>
  <c r="B630" i="1"/>
  <c r="C630" i="1"/>
  <c r="B631" i="1"/>
  <c r="C631" i="1"/>
  <c r="B632" i="1"/>
  <c r="C632" i="1"/>
  <c r="B633" i="1"/>
  <c r="C633" i="1"/>
  <c r="B634" i="1"/>
  <c r="C634" i="1"/>
  <c r="B635" i="1"/>
  <c r="C635" i="1"/>
  <c r="B636" i="1"/>
  <c r="C636" i="1"/>
  <c r="B637" i="1"/>
  <c r="C637" i="1"/>
  <c r="B638" i="1"/>
  <c r="C638" i="1"/>
  <c r="B639" i="1"/>
  <c r="C639" i="1"/>
  <c r="B640" i="1"/>
  <c r="C640" i="1"/>
  <c r="B641" i="1"/>
  <c r="C641" i="1"/>
  <c r="B642" i="1"/>
  <c r="C642" i="1"/>
  <c r="B643" i="1"/>
  <c r="C643" i="1"/>
  <c r="B644" i="1"/>
  <c r="C644" i="1"/>
  <c r="B645" i="1"/>
  <c r="C645" i="1"/>
  <c r="B646" i="1"/>
  <c r="C646" i="1"/>
  <c r="B647" i="1"/>
  <c r="C647" i="1"/>
  <c r="B648" i="1"/>
  <c r="C648" i="1"/>
  <c r="B649" i="1"/>
  <c r="C649" i="1"/>
  <c r="B650" i="1"/>
  <c r="C650" i="1"/>
  <c r="B651" i="1"/>
  <c r="C651" i="1"/>
  <c r="B652" i="1"/>
  <c r="C652" i="1"/>
  <c r="B653" i="1"/>
  <c r="C653" i="1"/>
  <c r="B654" i="1"/>
  <c r="C654" i="1"/>
  <c r="B655" i="1"/>
  <c r="C655" i="1"/>
  <c r="B656" i="1"/>
  <c r="C656" i="1"/>
  <c r="B657" i="1"/>
  <c r="C657" i="1"/>
  <c r="B658" i="1"/>
  <c r="C658" i="1"/>
  <c r="B659" i="1"/>
  <c r="C659" i="1"/>
  <c r="B660" i="1"/>
  <c r="C660" i="1"/>
  <c r="B661" i="1"/>
  <c r="C661" i="1"/>
  <c r="B662" i="1"/>
  <c r="C662" i="1"/>
  <c r="B663" i="1"/>
  <c r="C663" i="1"/>
  <c r="B664" i="1"/>
  <c r="C664" i="1"/>
  <c r="B665" i="1"/>
  <c r="C665" i="1"/>
  <c r="B666" i="1"/>
  <c r="C666" i="1"/>
  <c r="B667" i="1"/>
  <c r="C667" i="1"/>
  <c r="B668" i="1"/>
  <c r="C668" i="1"/>
  <c r="B669" i="1"/>
  <c r="C669" i="1"/>
  <c r="B670" i="1"/>
  <c r="C670" i="1"/>
  <c r="B671" i="1"/>
  <c r="C671" i="1"/>
  <c r="B672" i="1"/>
  <c r="C672" i="1"/>
  <c r="B673" i="1"/>
  <c r="C673" i="1"/>
  <c r="B674" i="1"/>
  <c r="C674" i="1"/>
  <c r="B675" i="1"/>
  <c r="C675" i="1"/>
  <c r="B676" i="1"/>
  <c r="C676" i="1"/>
  <c r="B677" i="1"/>
  <c r="C677" i="1"/>
  <c r="B678" i="1"/>
  <c r="C678" i="1"/>
  <c r="B679" i="1"/>
  <c r="C679" i="1"/>
  <c r="B680" i="1"/>
  <c r="C680" i="1"/>
  <c r="B681" i="1"/>
  <c r="C681" i="1"/>
  <c r="B682" i="1"/>
  <c r="C682" i="1"/>
  <c r="B683" i="1"/>
  <c r="C683" i="1"/>
  <c r="B684" i="1"/>
  <c r="C684" i="1"/>
  <c r="B685" i="1"/>
  <c r="C685" i="1"/>
  <c r="B686" i="1"/>
  <c r="C686" i="1"/>
  <c r="B687" i="1"/>
  <c r="C687" i="1"/>
  <c r="B688" i="1"/>
  <c r="C688" i="1"/>
  <c r="B689" i="1"/>
  <c r="C689" i="1"/>
  <c r="B690" i="1"/>
  <c r="C690" i="1"/>
  <c r="B691" i="1"/>
  <c r="C691" i="1"/>
  <c r="B692" i="1"/>
  <c r="C692" i="1"/>
  <c r="B693" i="1"/>
  <c r="C693" i="1"/>
  <c r="B694" i="1"/>
  <c r="C694" i="1"/>
  <c r="B695" i="1"/>
  <c r="C695" i="1"/>
  <c r="B696" i="1"/>
  <c r="C696" i="1"/>
  <c r="B697" i="1"/>
  <c r="C697" i="1"/>
  <c r="B698" i="1"/>
  <c r="C698" i="1"/>
  <c r="B699" i="1"/>
  <c r="C699" i="1"/>
  <c r="B700" i="1"/>
  <c r="C700" i="1"/>
  <c r="B701" i="1"/>
  <c r="C701" i="1"/>
  <c r="B702" i="1"/>
  <c r="C702" i="1"/>
  <c r="B703" i="1"/>
  <c r="C703" i="1"/>
  <c r="B704" i="1"/>
  <c r="C704" i="1"/>
  <c r="B705" i="1"/>
  <c r="C705" i="1"/>
  <c r="B706" i="1"/>
  <c r="C706" i="1"/>
  <c r="B707" i="1"/>
  <c r="C707" i="1"/>
  <c r="B708" i="1"/>
  <c r="C708" i="1"/>
  <c r="B709" i="1"/>
  <c r="C709" i="1"/>
  <c r="B710" i="1"/>
  <c r="C710" i="1"/>
  <c r="B711" i="1"/>
  <c r="C711" i="1"/>
  <c r="B712" i="1"/>
  <c r="C712" i="1"/>
  <c r="B713" i="1"/>
  <c r="C713" i="1"/>
  <c r="B714" i="1"/>
  <c r="C714" i="1"/>
  <c r="B715" i="1"/>
  <c r="C715" i="1"/>
  <c r="B716" i="1"/>
  <c r="C716" i="1"/>
  <c r="B717" i="1"/>
  <c r="C717" i="1"/>
  <c r="B718" i="1"/>
  <c r="C718" i="1"/>
  <c r="B719" i="1"/>
  <c r="C719" i="1"/>
  <c r="B720" i="1"/>
  <c r="C720" i="1"/>
  <c r="B721" i="1"/>
  <c r="C721" i="1"/>
  <c r="B722" i="1"/>
  <c r="C722" i="1"/>
  <c r="B723" i="1"/>
  <c r="C723" i="1"/>
  <c r="B724" i="1"/>
  <c r="C724" i="1"/>
  <c r="B725" i="1"/>
  <c r="C725" i="1"/>
  <c r="B726" i="1"/>
  <c r="C726" i="1"/>
  <c r="B727" i="1"/>
  <c r="C727" i="1"/>
  <c r="B728" i="1"/>
  <c r="C728" i="1"/>
  <c r="B729" i="1"/>
  <c r="C729" i="1"/>
  <c r="B730" i="1"/>
  <c r="C730" i="1"/>
  <c r="B731" i="1"/>
  <c r="C731" i="1"/>
  <c r="B732" i="1"/>
  <c r="C732" i="1"/>
  <c r="B733" i="1"/>
  <c r="C733" i="1"/>
  <c r="B734" i="1"/>
  <c r="C734" i="1"/>
  <c r="B735" i="1"/>
  <c r="C735" i="1"/>
  <c r="B736" i="1"/>
  <c r="C736" i="1"/>
  <c r="B737" i="1"/>
  <c r="C737" i="1"/>
  <c r="B738" i="1"/>
  <c r="C738" i="1"/>
  <c r="B739" i="1"/>
  <c r="C739" i="1"/>
  <c r="B740" i="1"/>
  <c r="C740" i="1"/>
  <c r="B741" i="1"/>
  <c r="C741" i="1"/>
  <c r="B742" i="1"/>
  <c r="C742" i="1"/>
  <c r="B743" i="1"/>
  <c r="C743" i="1"/>
  <c r="B744" i="1"/>
  <c r="C744" i="1"/>
  <c r="B745" i="1"/>
  <c r="C745" i="1"/>
  <c r="B746" i="1"/>
  <c r="C746" i="1"/>
  <c r="B747" i="1"/>
  <c r="C747" i="1"/>
  <c r="B748" i="1"/>
  <c r="C748" i="1"/>
  <c r="B749" i="1"/>
  <c r="C749" i="1"/>
  <c r="B750" i="1"/>
  <c r="C750" i="1"/>
  <c r="B751" i="1"/>
  <c r="C751" i="1"/>
  <c r="B752" i="1"/>
  <c r="C752" i="1"/>
  <c r="B753" i="1"/>
  <c r="C753" i="1"/>
  <c r="B754" i="1"/>
  <c r="C754" i="1"/>
  <c r="B755" i="1"/>
  <c r="C755" i="1"/>
  <c r="B756" i="1"/>
  <c r="C756" i="1"/>
  <c r="B757" i="1"/>
  <c r="C757" i="1"/>
  <c r="B758" i="1"/>
  <c r="C758" i="1"/>
  <c r="B759" i="1"/>
  <c r="C759" i="1"/>
  <c r="B760" i="1"/>
  <c r="C760" i="1"/>
  <c r="B761" i="1"/>
  <c r="C761" i="1"/>
  <c r="B762" i="1"/>
  <c r="C762" i="1"/>
  <c r="B763" i="1"/>
  <c r="C763" i="1"/>
  <c r="B764" i="1"/>
  <c r="C764" i="1"/>
  <c r="B765" i="1"/>
  <c r="C765" i="1"/>
  <c r="B766" i="1"/>
  <c r="C766" i="1"/>
  <c r="B767" i="1"/>
  <c r="C767" i="1"/>
  <c r="B768" i="1"/>
  <c r="C768" i="1"/>
  <c r="B769" i="1"/>
  <c r="C769" i="1"/>
  <c r="B770" i="1"/>
  <c r="C770" i="1"/>
  <c r="B771" i="1"/>
  <c r="C771" i="1"/>
  <c r="B772" i="1"/>
  <c r="C772" i="1"/>
  <c r="B773" i="1"/>
  <c r="C773" i="1"/>
  <c r="B774" i="1"/>
  <c r="C774" i="1"/>
  <c r="B775" i="1"/>
  <c r="C775" i="1"/>
  <c r="B776" i="1"/>
  <c r="C776" i="1"/>
  <c r="B777" i="1"/>
  <c r="C777" i="1"/>
  <c r="B778" i="1"/>
  <c r="C778" i="1"/>
  <c r="B779" i="1"/>
  <c r="C779" i="1"/>
  <c r="B780" i="1"/>
  <c r="C780" i="1"/>
  <c r="B781" i="1"/>
  <c r="C781" i="1"/>
  <c r="B782" i="1"/>
  <c r="C782" i="1"/>
  <c r="B783" i="1"/>
  <c r="C783" i="1"/>
  <c r="B784" i="1"/>
  <c r="C784" i="1"/>
  <c r="B785" i="1"/>
  <c r="C785" i="1"/>
  <c r="B786" i="1"/>
  <c r="C786" i="1"/>
  <c r="B787" i="1"/>
  <c r="C787" i="1"/>
  <c r="B788" i="1"/>
  <c r="C788" i="1"/>
  <c r="B789" i="1"/>
  <c r="C789" i="1"/>
  <c r="B790" i="1"/>
  <c r="C790" i="1"/>
  <c r="B791" i="1"/>
  <c r="C791" i="1"/>
  <c r="B792" i="1"/>
  <c r="C792" i="1"/>
  <c r="B793" i="1"/>
  <c r="C793" i="1"/>
  <c r="B794" i="1"/>
  <c r="C794" i="1"/>
  <c r="B795" i="1"/>
  <c r="C795" i="1"/>
  <c r="B796" i="1"/>
  <c r="C796" i="1"/>
  <c r="B797" i="1"/>
  <c r="C797" i="1"/>
  <c r="B798" i="1"/>
  <c r="C798" i="1"/>
  <c r="B799" i="1"/>
  <c r="C799" i="1"/>
  <c r="B800" i="1"/>
  <c r="C800" i="1"/>
  <c r="B801" i="1"/>
  <c r="C801" i="1"/>
  <c r="B802" i="1"/>
  <c r="C802" i="1"/>
  <c r="B803" i="1"/>
  <c r="C803" i="1"/>
  <c r="B804" i="1"/>
  <c r="C804" i="1"/>
  <c r="B805" i="1"/>
  <c r="C805" i="1"/>
  <c r="B806" i="1"/>
  <c r="C806" i="1"/>
  <c r="B807" i="1"/>
  <c r="C807" i="1"/>
  <c r="B808" i="1"/>
  <c r="C808" i="1"/>
  <c r="B809" i="1"/>
  <c r="C809" i="1"/>
  <c r="B810" i="1"/>
  <c r="C810" i="1"/>
  <c r="B811" i="1"/>
  <c r="C811" i="1"/>
  <c r="B812" i="1"/>
  <c r="C812" i="1"/>
  <c r="B813" i="1"/>
  <c r="C813" i="1"/>
  <c r="B814" i="1"/>
  <c r="C814" i="1"/>
  <c r="B815" i="1"/>
  <c r="C815" i="1"/>
  <c r="B816" i="1"/>
  <c r="C816" i="1"/>
  <c r="B817" i="1"/>
  <c r="C817" i="1"/>
  <c r="B818" i="1"/>
  <c r="C818" i="1"/>
  <c r="B819" i="1"/>
  <c r="C819" i="1"/>
  <c r="B820" i="1"/>
  <c r="C820" i="1"/>
  <c r="B821" i="1"/>
  <c r="C821" i="1"/>
  <c r="B822" i="1"/>
  <c r="C822" i="1"/>
  <c r="B823" i="1"/>
  <c r="C823" i="1"/>
  <c r="B824" i="1"/>
  <c r="C824" i="1"/>
  <c r="B825" i="1"/>
  <c r="C825" i="1"/>
  <c r="B826" i="1"/>
  <c r="C826" i="1"/>
  <c r="B827" i="1"/>
  <c r="C827" i="1"/>
  <c r="B828" i="1"/>
  <c r="C828" i="1"/>
  <c r="B829" i="1"/>
  <c r="C829" i="1"/>
  <c r="B830" i="1"/>
  <c r="C830" i="1"/>
  <c r="B831" i="1"/>
  <c r="C831" i="1"/>
  <c r="B832" i="1"/>
  <c r="C832" i="1"/>
  <c r="B833" i="1"/>
  <c r="C833" i="1"/>
  <c r="B834" i="1"/>
  <c r="C834" i="1"/>
  <c r="B835" i="1"/>
  <c r="C835" i="1"/>
  <c r="B836" i="1"/>
  <c r="C836" i="1"/>
  <c r="B837" i="1"/>
  <c r="C837" i="1"/>
  <c r="B838" i="1"/>
  <c r="C838" i="1"/>
  <c r="B839" i="1"/>
  <c r="C839" i="1"/>
  <c r="B840" i="1"/>
  <c r="C840" i="1"/>
  <c r="B841" i="1"/>
  <c r="C841" i="1"/>
  <c r="B842" i="1"/>
  <c r="C842" i="1"/>
  <c r="B843" i="1"/>
  <c r="C843" i="1"/>
  <c r="B844" i="1"/>
  <c r="C844" i="1"/>
  <c r="B845" i="1"/>
  <c r="C845" i="1"/>
  <c r="B846" i="1"/>
  <c r="C846" i="1"/>
  <c r="B847" i="1"/>
  <c r="C847" i="1"/>
  <c r="B848" i="1"/>
  <c r="C848" i="1"/>
  <c r="B849" i="1"/>
  <c r="C849" i="1"/>
  <c r="B850" i="1"/>
  <c r="C850" i="1"/>
  <c r="B851" i="1"/>
  <c r="C851" i="1"/>
  <c r="B852" i="1"/>
  <c r="C852" i="1"/>
  <c r="B853" i="1"/>
  <c r="C853" i="1"/>
  <c r="B854" i="1"/>
  <c r="C854" i="1"/>
  <c r="B855" i="1"/>
  <c r="C855" i="1"/>
  <c r="B856" i="1"/>
  <c r="C856" i="1"/>
  <c r="B857" i="1"/>
  <c r="C857" i="1"/>
  <c r="B858" i="1"/>
  <c r="C858" i="1"/>
  <c r="B859" i="1"/>
  <c r="C859" i="1"/>
  <c r="B860" i="1"/>
  <c r="C860" i="1"/>
  <c r="B861" i="1"/>
  <c r="C861" i="1"/>
  <c r="B862" i="1"/>
  <c r="C862" i="1"/>
  <c r="B863" i="1"/>
  <c r="C863" i="1"/>
  <c r="B864" i="1"/>
  <c r="C864" i="1"/>
  <c r="B865" i="1"/>
  <c r="C865" i="1"/>
  <c r="B866" i="1"/>
  <c r="C866" i="1"/>
  <c r="B867" i="1"/>
  <c r="C867" i="1"/>
  <c r="B868" i="1"/>
  <c r="C868" i="1"/>
  <c r="B869" i="1"/>
  <c r="C869" i="1"/>
  <c r="B870" i="1"/>
  <c r="C870" i="1"/>
  <c r="B871" i="1"/>
  <c r="C871" i="1"/>
  <c r="B872" i="1"/>
  <c r="C872" i="1"/>
  <c r="B873" i="1"/>
  <c r="C873" i="1"/>
  <c r="B874" i="1"/>
  <c r="C874" i="1"/>
  <c r="B875" i="1"/>
  <c r="C875" i="1"/>
  <c r="B876" i="1"/>
  <c r="C876" i="1"/>
  <c r="B877" i="1"/>
  <c r="C877" i="1"/>
  <c r="B878" i="1"/>
  <c r="C878" i="1"/>
  <c r="B879" i="1"/>
  <c r="C879" i="1"/>
  <c r="B880" i="1"/>
  <c r="C880" i="1"/>
  <c r="B881" i="1"/>
  <c r="C881" i="1"/>
  <c r="B882" i="1"/>
  <c r="C882" i="1"/>
  <c r="B883" i="1"/>
  <c r="C883" i="1"/>
  <c r="B884" i="1"/>
  <c r="C884" i="1"/>
  <c r="B885" i="1"/>
  <c r="C885" i="1"/>
  <c r="B886" i="1"/>
  <c r="C886" i="1"/>
  <c r="B887" i="1"/>
  <c r="C887" i="1"/>
  <c r="B888" i="1"/>
  <c r="C888" i="1"/>
  <c r="B889" i="1"/>
  <c r="C889" i="1"/>
  <c r="B890" i="1"/>
  <c r="C890" i="1"/>
  <c r="B891" i="1"/>
  <c r="C891" i="1"/>
  <c r="B892" i="1"/>
  <c r="C892" i="1"/>
  <c r="B893" i="1"/>
  <c r="C893" i="1"/>
  <c r="B894" i="1"/>
  <c r="C894" i="1"/>
  <c r="B895" i="1"/>
  <c r="C895" i="1"/>
  <c r="B896" i="1"/>
  <c r="C896" i="1"/>
  <c r="B897" i="1"/>
  <c r="C897" i="1"/>
  <c r="B898" i="1"/>
  <c r="C898" i="1"/>
  <c r="B899" i="1"/>
  <c r="C899" i="1"/>
  <c r="B900" i="1"/>
  <c r="C900" i="1"/>
  <c r="B901" i="1"/>
  <c r="C901" i="1"/>
  <c r="B902" i="1"/>
  <c r="C902" i="1"/>
  <c r="B903" i="1"/>
  <c r="C903" i="1"/>
  <c r="B904" i="1"/>
  <c r="C904" i="1"/>
  <c r="B905" i="1"/>
  <c r="C905" i="1"/>
  <c r="B906" i="1"/>
  <c r="C906" i="1"/>
  <c r="B907" i="1"/>
  <c r="C907" i="1"/>
  <c r="B908" i="1"/>
  <c r="C908" i="1"/>
  <c r="B909" i="1"/>
  <c r="C909" i="1"/>
  <c r="B910" i="1"/>
  <c r="C910" i="1"/>
  <c r="B911" i="1"/>
  <c r="C911" i="1"/>
  <c r="B912" i="1"/>
  <c r="C912" i="1"/>
  <c r="B913" i="1"/>
  <c r="C913" i="1"/>
  <c r="B914" i="1"/>
  <c r="C914" i="1"/>
  <c r="B915" i="1"/>
  <c r="C915" i="1"/>
  <c r="B916" i="1"/>
  <c r="C916" i="1"/>
  <c r="B917" i="1"/>
  <c r="C917" i="1"/>
  <c r="B918" i="1"/>
  <c r="C918" i="1"/>
  <c r="O40" i="1" l="1"/>
  <c r="P39" i="1"/>
  <c r="R38" i="1"/>
  <c r="R37" i="1"/>
  <c r="P34" i="1"/>
  <c r="S48" i="1"/>
  <c r="O48" i="1"/>
  <c r="R47" i="1"/>
  <c r="P45" i="1"/>
  <c r="Q44" i="1"/>
  <c r="S43" i="1"/>
  <c r="Q39" i="1"/>
  <c r="S38" i="1"/>
  <c r="S36" i="1"/>
  <c r="P26" i="1"/>
  <c r="P25" i="1"/>
  <c r="R14" i="1"/>
  <c r="P13" i="1"/>
  <c r="R46" i="1"/>
  <c r="R3" i="1"/>
  <c r="O49" i="1"/>
  <c r="Q48" i="1"/>
  <c r="S47" i="1"/>
  <c r="O47" i="1"/>
  <c r="Q46" i="1"/>
  <c r="S45" i="1"/>
  <c r="P43" i="1"/>
  <c r="R42" i="1"/>
  <c r="R41" i="1"/>
  <c r="R39" i="1"/>
  <c r="Q38" i="1"/>
  <c r="S37" i="1"/>
  <c r="O37" i="1"/>
  <c r="R36" i="1"/>
  <c r="O36" i="1"/>
  <c r="R35" i="1"/>
  <c r="O35" i="1"/>
  <c r="Q33" i="1"/>
  <c r="S31" i="1"/>
  <c r="O31" i="1"/>
  <c r="S30" i="1"/>
  <c r="P30" i="1"/>
  <c r="S29" i="1"/>
  <c r="O29" i="1"/>
  <c r="Q28" i="1"/>
  <c r="Q26" i="1"/>
  <c r="S25" i="1"/>
  <c r="Q25" i="1"/>
  <c r="S24" i="1"/>
  <c r="Q24" i="1"/>
  <c r="O24" i="1"/>
  <c r="O23" i="1"/>
  <c r="O6" i="1"/>
  <c r="R32" i="1"/>
  <c r="Q30" i="1"/>
  <c r="R28" i="1"/>
  <c r="O28" i="1"/>
  <c r="S27" i="1"/>
  <c r="O27" i="1"/>
  <c r="R24" i="1"/>
  <c r="P24" i="1"/>
  <c r="R23" i="1"/>
  <c r="R21" i="1"/>
  <c r="P21" i="1"/>
  <c r="R20" i="1"/>
  <c r="R18" i="1"/>
  <c r="P18" i="1"/>
  <c r="O18" i="1"/>
  <c r="S17" i="1"/>
  <c r="Q16" i="1"/>
  <c r="P16" i="1"/>
  <c r="O16" i="1"/>
  <c r="S15" i="1"/>
  <c r="Q15" i="1"/>
  <c r="O15" i="1"/>
  <c r="P14" i="1"/>
  <c r="O14" i="1"/>
  <c r="Q12" i="1"/>
  <c r="P12" i="1"/>
  <c r="O12" i="1"/>
  <c r="S11" i="1"/>
  <c r="Q11" i="1"/>
  <c r="P11" i="1"/>
  <c r="O11" i="1"/>
  <c r="S10" i="1"/>
  <c r="P10" i="1"/>
  <c r="O10" i="1"/>
  <c r="R9" i="1"/>
  <c r="R4" i="1"/>
  <c r="P4" i="1"/>
  <c r="O3" i="1"/>
  <c r="S49" i="1"/>
  <c r="P49" i="1"/>
  <c r="R48" i="1"/>
  <c r="P46" i="1"/>
  <c r="R45" i="1"/>
  <c r="O45" i="1"/>
  <c r="R44" i="1"/>
  <c r="P42" i="1"/>
  <c r="S41" i="1"/>
  <c r="O41" i="1"/>
  <c r="Q40" i="1"/>
  <c r="O38" i="1"/>
  <c r="P37" i="1"/>
  <c r="Q36" i="1"/>
  <c r="R34" i="1"/>
  <c r="S33" i="1"/>
  <c r="P33" i="1"/>
  <c r="Q32" i="1"/>
  <c r="Q31" i="1"/>
  <c r="Q29" i="1"/>
  <c r="R26" i="1"/>
  <c r="Q14" i="1"/>
  <c r="R13" i="1"/>
  <c r="P3" i="1"/>
  <c r="Q49" i="1"/>
  <c r="Q47" i="1"/>
  <c r="Q45" i="1"/>
  <c r="S44" i="1"/>
  <c r="O44" i="1"/>
  <c r="Q43" i="1"/>
  <c r="Q41" i="1"/>
  <c r="P40" i="1"/>
  <c r="P38" i="1"/>
  <c r="Q37" i="1"/>
  <c r="P35" i="1"/>
  <c r="O33" i="1"/>
  <c r="S32" i="1"/>
  <c r="O32" i="1"/>
  <c r="P31" i="1"/>
  <c r="P29" i="1"/>
  <c r="P27" i="1"/>
  <c r="S26" i="1"/>
  <c r="O26" i="1"/>
  <c r="R25" i="1"/>
  <c r="O25" i="1"/>
  <c r="S23" i="1"/>
  <c r="Q23" i="1"/>
  <c r="P23" i="1"/>
  <c r="S22" i="1"/>
  <c r="R22" i="1"/>
  <c r="O22" i="1"/>
  <c r="Q21" i="1"/>
  <c r="O21" i="1"/>
  <c r="S20" i="1"/>
  <c r="Q19" i="1"/>
  <c r="P19" i="1"/>
  <c r="Q18" i="1"/>
  <c r="R17" i="1"/>
  <c r="S16" i="1"/>
  <c r="Q13" i="1"/>
  <c r="O13" i="1"/>
  <c r="R12" i="1"/>
  <c r="R10" i="1"/>
  <c r="O7" i="1"/>
  <c r="P48" i="1"/>
  <c r="P44" i="1"/>
  <c r="R43" i="1"/>
  <c r="O43" i="1"/>
  <c r="S42" i="1"/>
  <c r="O42" i="1"/>
  <c r="P41" i="1"/>
  <c r="S40" i="1"/>
  <c r="S39" i="1"/>
  <c r="P36" i="1"/>
  <c r="S35" i="1"/>
  <c r="Q35" i="1"/>
  <c r="S34" i="1"/>
  <c r="O34" i="1"/>
  <c r="R33" i="1"/>
  <c r="O30" i="1"/>
  <c r="R29" i="1"/>
  <c r="S28" i="1"/>
  <c r="P28" i="1"/>
  <c r="Q27" i="1"/>
  <c r="Q22" i="1"/>
  <c r="P22" i="1"/>
  <c r="S21" i="1"/>
  <c r="Q20" i="1"/>
  <c r="P20" i="1"/>
  <c r="O20" i="1"/>
  <c r="S19" i="1"/>
  <c r="R19" i="1"/>
  <c r="O19" i="1"/>
  <c r="S18" i="1"/>
  <c r="Q17" i="1"/>
  <c r="P17" i="1"/>
  <c r="O17" i="1"/>
  <c r="R16" i="1"/>
  <c r="R15" i="1"/>
  <c r="P15" i="1"/>
  <c r="S14" i="1"/>
  <c r="S13" i="1"/>
  <c r="S12" i="1"/>
  <c r="R11" i="1"/>
  <c r="Q10" i="1"/>
  <c r="S9" i="1"/>
  <c r="Q9" i="1"/>
  <c r="P9" i="1"/>
  <c r="O9" i="1"/>
  <c r="S8" i="1"/>
  <c r="R8" i="1"/>
  <c r="Q8" i="1"/>
  <c r="P8" i="1"/>
  <c r="O8" i="1"/>
  <c r="S7" i="1"/>
  <c r="R7" i="1"/>
  <c r="Q7" i="1"/>
  <c r="P7" i="1"/>
  <c r="S6" i="1"/>
  <c r="R6" i="1"/>
  <c r="P6" i="1"/>
  <c r="O4" i="1"/>
  <c r="S3" i="1"/>
  <c r="N2" i="1"/>
  <c r="R30" i="1"/>
  <c r="Q6" i="1"/>
  <c r="R49" i="1"/>
  <c r="P47" i="1"/>
  <c r="S46" i="1"/>
  <c r="O46" i="1"/>
  <c r="Q42" i="1"/>
  <c r="R40" i="1"/>
  <c r="O39" i="1"/>
  <c r="Q34" i="1"/>
  <c r="P32" i="1"/>
  <c r="R31" i="1"/>
  <c r="R27" i="1"/>
  <c r="S5" i="1"/>
  <c r="R5" i="1"/>
  <c r="Q5" i="1"/>
  <c r="P5" i="1"/>
  <c r="O5" i="1"/>
  <c r="S4" i="1"/>
  <c r="Q4" i="1"/>
  <c r="Q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<sst xmlns="http://schemas.openxmlformats.org/spreadsheetml/2006/main" count="2348" uniqueCount="15">
  <si>
    <t>AT</t>
  </si>
  <si>
    <t/>
  </si>
  <si>
    <t>˚kkk</t>
  </si>
  <si>
    <t>Brand</t>
  </si>
  <si>
    <t>Sent</t>
  </si>
  <si>
    <t>Total Clicks</t>
  </si>
  <si>
    <t>Clicked</t>
  </si>
  <si>
    <t>Total Opens</t>
  </si>
  <si>
    <t>Opened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</si>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</sst>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86E91-BF12-1B45-B9F2-90B1F79FC466}">
  <dimension ref="A1:T918"/>
  <sheetViews>
    <sheetView tabSelected="1" zoomScale="80" zoomScaleNormal="80" workbookViewId="0">
      <selection activeCell="T4" sqref="T4"/>
    </sheetView>
  </sheetViews>
  <sheetFormatPr baseColWidth="10" defaultColWidth="8.83203125" defaultRowHeight="15" x14ac:dyDescent="0.2"/>
  <cols>
    <col min="1" max="1" width="8.33203125" customWidth="1"/>
    <col min="2" max="2" width="9.6640625" customWidth="1"/>
    <col min="3" max="3" width="9.83203125" customWidth="1"/>
    <col min="4" max="4" width="7.33203125" customWidth="1"/>
    <col min="5" max="5" width="7.5" customWidth="1"/>
    <col min="6" max="6" width="10.83203125" customWidth="1"/>
    <col min="8" max="8" width="8.33203125" customWidth="1"/>
    <col min="9" max="9" width="9.6640625" customWidth="1"/>
    <col min="10" max="10" width="17.33203125" customWidth="1"/>
    <col min="14" max="14" width="68.5" customWidth="1"/>
    <col min="15" max="15" width="10.6640625" customWidth="1"/>
    <col min="16" max="16" width="13.6640625" customWidth="1"/>
    <col min="17" max="17" width="10.5" customWidth="1"/>
    <col min="18" max="18" width="13.33203125" customWidth="1"/>
  </cols>
  <sheetData>
    <row r="1" spans="1:20" ht="48" x14ac:dyDescent="0.2">
      <c r="A1" s="7" t="s">
        <v>14</v>
      </c>
      <c r="B1" s="7" t="s">
        <v>13</v>
      </c>
      <c r="C1" s="7" t="s">
        <v>12</v>
      </c>
      <c r="D1" s="7" t="s">
        <v>11</v>
      </c>
      <c r="E1" s="7" t="s">
        <v>8</v>
      </c>
      <c r="F1" s="7" t="s">
        <v>7</v>
      </c>
      <c r="G1" s="7" t="s">
        <v>6</v>
      </c>
      <c r="H1" s="7" t="s">
        <v>10</v>
      </c>
      <c r="I1" s="7" t="s">
        <v>5</v>
      </c>
      <c r="J1" s="7" t="s">
        <v>9</v>
      </c>
    </row>
    <row r="2" spans="1:20" ht="16" x14ac:dyDescent="0.2">
      <c r="A2" s="4" t="s">
        <v>0</v>
      </c>
      <c r="B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" s="3" t="str">
        <f>HYPERLINK("https://otsuka-europe-crm.veevavault.com/ui/#object/sent_email__v/VBLZ025E82GTUSX", "SE-000276713")</f>
        <v>SE-000276713</v>
      </c>
      <c r="D2" s="1" t="s">
        <v>1</v>
      </c>
      <c r="E2" s="2">
        <v>0</v>
      </c>
      <c r="F2" s="2">
        <v>0</v>
      </c>
      <c r="G2" s="2">
        <v>0</v>
      </c>
      <c r="H2" s="1" t="s">
        <v>1</v>
      </c>
      <c r="I2" s="2">
        <v>0</v>
      </c>
      <c r="J2" s="1">
        <v>45919.360717592594</v>
      </c>
      <c r="N2" s="6" t="str" cm="1">
        <f t="array" ref="N2:N50">_xlfn.UNIQUE(B:B)</f>
        <v>Approved Document Name</v>
      </c>
      <c r="O2" s="5" t="s">
        <v>8</v>
      </c>
      <c r="P2" s="5" t="s">
        <v>7</v>
      </c>
      <c r="Q2" s="5" t="s">
        <v>6</v>
      </c>
      <c r="R2" s="5" t="s">
        <v>5</v>
      </c>
      <c r="S2" s="5" t="s">
        <v>4</v>
      </c>
      <c r="T2" s="5" t="s">
        <v>3</v>
      </c>
    </row>
    <row r="3" spans="1:20" x14ac:dyDescent="0.2">
      <c r="A3" s="4" t="s">
        <v>0</v>
      </c>
      <c r="B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" s="3" t="str">
        <f>HYPERLINK("https://otsuka-europe-crm.veevavault.com/ui/#object/sent_email__v/VBLZ025E82GTV19", "SE-000276714")</f>
        <v>SE-000276714</v>
      </c>
      <c r="D3" s="1">
        <v>45920.256481481483</v>
      </c>
      <c r="E3" s="2">
        <v>1</v>
      </c>
      <c r="F3" s="2">
        <v>1</v>
      </c>
      <c r="G3" s="2">
        <v>1</v>
      </c>
      <c r="H3" s="1">
        <v>45920.256481481483</v>
      </c>
      <c r="I3" s="2">
        <v>1</v>
      </c>
      <c r="J3" s="1">
        <v>45919.363136574073</v>
      </c>
      <c r="N3" t="str">
        <v>AT - HCP Einwilligung für Otsuka E-Mails Österreich</v>
      </c>
      <c r="O3">
        <f>SUMIF(AT!B:B,$N3,AT!E:E)</f>
        <v>44</v>
      </c>
      <c r="P3">
        <f>SUMIF(AT!B:B,$N3,AT!F:F)</f>
        <v>87</v>
      </c>
      <c r="Q3">
        <f>SUMIF(AT!B:B,$N3,AT!G:G)</f>
        <v>28</v>
      </c>
      <c r="R3">
        <f>SUMIF(AT!B:B,$N3,AT!I:I)</f>
        <v>34</v>
      </c>
      <c r="S3">
        <f>COUNTIF($B:$B,$N3)</f>
        <v>79</v>
      </c>
    </row>
    <row r="4" spans="1:20" x14ac:dyDescent="0.2">
      <c r="A4" s="4" t="s">
        <v>0</v>
      </c>
      <c r="B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" s="3" t="str">
        <f>HYPERLINK("https://otsuka-europe-crm.veevavault.com/ui/#object/sent_email__v/VBLZ025E82H7IUT", "SE-000282873")</f>
        <v>SE-000282873</v>
      </c>
      <c r="D4" s="1">
        <v>45932.522812499999</v>
      </c>
      <c r="E4" s="2">
        <v>1</v>
      </c>
      <c r="F4" s="2">
        <v>1</v>
      </c>
      <c r="G4" s="2">
        <v>1</v>
      </c>
      <c r="H4" s="1">
        <v>45932.522812499999</v>
      </c>
      <c r="I4" s="2">
        <v>1</v>
      </c>
      <c r="J4" s="1">
        <v>45932.425520833334</v>
      </c>
      <c r="N4" t="str">
        <v>AT - HCP Einwilligung für Remote Calls Österreich</v>
      </c>
      <c r="O4">
        <f>SUMIF(AT!B:B,$N4,AT!E:E)</f>
        <v>25</v>
      </c>
      <c r="P4">
        <f>SUMIF(AT!B:B,$N4,AT!F:F)</f>
        <v>63</v>
      </c>
      <c r="Q4">
        <f>SUMIF(AT!B:B,$N4,AT!G:G)</f>
        <v>16</v>
      </c>
      <c r="R4">
        <f>SUMIF(AT!B:B,$N4,AT!I:I)</f>
        <v>18</v>
      </c>
      <c r="S4">
        <f>COUNTIF($B:$B,$N4)</f>
        <v>50</v>
      </c>
    </row>
    <row r="5" spans="1:20" x14ac:dyDescent="0.2">
      <c r="A5" s="4" t="s">
        <v>0</v>
      </c>
      <c r="B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" s="3" t="str">
        <f>HYPERLINK("https://otsuka-europe-crm.veevavault.com/ui/#object/sent_email__v/VBLZ025E82H7K8U", "SE-000282879")</f>
        <v>SE-000282879</v>
      </c>
      <c r="D5" s="1">
        <v>45932.665509259263</v>
      </c>
      <c r="E5" s="2">
        <v>1</v>
      </c>
      <c r="F5" s="2">
        <v>1</v>
      </c>
      <c r="G5" s="2">
        <v>1</v>
      </c>
      <c r="H5" s="1">
        <v>45932.665659722225</v>
      </c>
      <c r="I5" s="2">
        <v>1</v>
      </c>
      <c r="J5" s="1">
        <v>45932.437986111108</v>
      </c>
      <c r="N5" t="str">
        <v>Austria - Consent Email - Aug25</v>
      </c>
      <c r="O5">
        <f>SUMIF(AT!B:B,$N5,AT!E:E)</f>
        <v>3</v>
      </c>
      <c r="P5">
        <f>SUMIF(AT!B:B,$N5,AT!F:F)</f>
        <v>12</v>
      </c>
      <c r="Q5">
        <f>SUMIF(AT!B:B,$N5,AT!G:G)</f>
        <v>1</v>
      </c>
      <c r="R5">
        <f>SUMIF(AT!B:B,$N5,AT!I:I)</f>
        <v>1</v>
      </c>
      <c r="S5">
        <f>COUNTIF($B:$B,$N5)</f>
        <v>7</v>
      </c>
    </row>
    <row r="6" spans="1:20" x14ac:dyDescent="0.2">
      <c r="A6" s="4" t="s">
        <v>0</v>
      </c>
      <c r="B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" s="3" t="str">
        <f>HYPERLINK("https://otsuka-europe-crm.veevavault.com/ui/#object/sent_email__v/VBLZ025E82H8XXQ", "SE-000283044")</f>
        <v>SE-000283044</v>
      </c>
      <c r="D6" s="1">
        <v>45933.275752314818</v>
      </c>
      <c r="E6" s="2">
        <v>1</v>
      </c>
      <c r="F6" s="2">
        <v>1</v>
      </c>
      <c r="G6" s="2">
        <v>0</v>
      </c>
      <c r="H6" s="1" t="s">
        <v>1</v>
      </c>
      <c r="I6" s="2">
        <v>0</v>
      </c>
      <c r="J6" s="1">
        <v>45933.262048611112</v>
      </c>
      <c r="N6" t="str">
        <v>Austria - Consent Email - Aug25 v2</v>
      </c>
      <c r="O6">
        <f>SUMIF(AT!B:B,$N6,AT!E:E)</f>
        <v>22</v>
      </c>
      <c r="P6">
        <f>SUMIF(AT!B:B,$N6,AT!F:F)</f>
        <v>32</v>
      </c>
      <c r="Q6">
        <f>SUMIF(AT!B:B,$N6,AT!G:G)</f>
        <v>16</v>
      </c>
      <c r="R6">
        <f>SUMIF(AT!B:B,$N6,AT!I:I)</f>
        <v>19</v>
      </c>
      <c r="S6">
        <f>COUNTIF($B:$B,$N6)</f>
        <v>40</v>
      </c>
    </row>
    <row r="7" spans="1:20" x14ac:dyDescent="0.2">
      <c r="A7" s="4" t="s">
        <v>0</v>
      </c>
      <c r="B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" s="3" t="str">
        <f>HYPERLINK("https://otsuka-europe-crm.veevavault.com/ui/#object/sent_email__v/VBLZ025E82H93VM", "SE-000283106")</f>
        <v>SE-000283106</v>
      </c>
      <c r="D7" s="1" t="s">
        <v>1</v>
      </c>
      <c r="E7" s="2">
        <v>0</v>
      </c>
      <c r="F7" s="2">
        <v>0</v>
      </c>
      <c r="G7" s="2">
        <v>0</v>
      </c>
      <c r="H7" s="1" t="s">
        <v>1</v>
      </c>
      <c r="I7" s="2">
        <v>0</v>
      </c>
      <c r="J7" s="1">
        <v>45933.372210648151</v>
      </c>
      <c r="N7" t="str">
        <v>DACH (AT) HCP NPS Survey VAE 2025</v>
      </c>
      <c r="O7">
        <f>SUMIF(AT!B:B,$N7,AT!E:E)</f>
        <v>16</v>
      </c>
      <c r="P7">
        <f>SUMIF(AT!B:B,$N7,AT!F:F)</f>
        <v>26</v>
      </c>
      <c r="Q7">
        <f>SUMIF(AT!B:B,$N7,AT!G:G)</f>
        <v>9</v>
      </c>
      <c r="R7">
        <f>SUMIF(AT!B:B,$N7,AT!I:I)</f>
        <v>10</v>
      </c>
      <c r="S7">
        <f>COUNTIF($B:$B,$N7)</f>
        <v>78</v>
      </c>
    </row>
    <row r="8" spans="1:20" x14ac:dyDescent="0.2">
      <c r="A8" s="4" t="s">
        <v>0</v>
      </c>
      <c r="B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8" s="3" t="str">
        <f>HYPERLINK("https://otsuka-europe-crm.veevavault.com/ui/#object/sent_email__v/VBLZ025E82HCJ3Q", "SE-000283724")</f>
        <v>SE-000283724</v>
      </c>
      <c r="D8" s="1">
        <v>45937.336041666669</v>
      </c>
      <c r="E8" s="2">
        <v>1</v>
      </c>
      <c r="F8" s="2">
        <v>1</v>
      </c>
      <c r="G8" s="2">
        <v>1</v>
      </c>
      <c r="H8" s="1">
        <v>45937.336041666669</v>
      </c>
      <c r="I8" s="2">
        <v>1</v>
      </c>
      <c r="J8" s="1">
        <v>45937.334490740737</v>
      </c>
      <c r="N8" t="str">
        <v>Disclosure-Consent__Veeva-CRM__AT</v>
      </c>
      <c r="O8">
        <f>SUMIF(AT!B:B,$N8,AT!E:E)</f>
        <v>4</v>
      </c>
      <c r="P8">
        <f>SUMIF(AT!B:B,$N8,AT!F:F)</f>
        <v>45</v>
      </c>
      <c r="Q8">
        <f>SUMIF(AT!B:B,$N8,AT!G:G)</f>
        <v>3</v>
      </c>
      <c r="R8">
        <f>SUMIF(AT!B:B,$N8,AT!I:I)</f>
        <v>4</v>
      </c>
      <c r="S8">
        <f>COUNTIF($B:$B,$N8)</f>
        <v>4</v>
      </c>
    </row>
    <row r="9" spans="1:20" x14ac:dyDescent="0.2">
      <c r="A9" s="4" t="s">
        <v>0</v>
      </c>
      <c r="B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9" s="3" t="str">
        <f>HYPERLINK("https://otsuka-europe-crm.veevavault.com/ui/#object/sent_email__v/VBLZ025E82HCSZ9", "SE-000284028")</f>
        <v>SE-000284028</v>
      </c>
      <c r="D9" s="1" t="s">
        <v>1</v>
      </c>
      <c r="E9" s="2">
        <v>0</v>
      </c>
      <c r="F9" s="2">
        <v>0</v>
      </c>
      <c r="G9" s="2">
        <v>0</v>
      </c>
      <c r="H9" s="1" t="s">
        <v>1</v>
      </c>
      <c r="I9" s="2">
        <v>0</v>
      </c>
      <c r="J9" s="1">
        <v>45937.408553240741</v>
      </c>
      <c r="N9" t="str">
        <v>INA VAE AT EREP – EL OeGHO 2026 Bregenz</v>
      </c>
      <c r="O9">
        <f>SUMIF(AT!B:B,$N9,AT!E:E)</f>
        <v>0</v>
      </c>
      <c r="P9">
        <f>SUMIF(AT!B:B,$N9,AT!F:F)</f>
        <v>0</v>
      </c>
      <c r="Q9">
        <f>SUMIF(AT!B:B,$N9,AT!G:G)</f>
        <v>0</v>
      </c>
      <c r="R9">
        <f>SUMIF(AT!B:B,$N9,AT!I:I)</f>
        <v>0</v>
      </c>
      <c r="S9">
        <f>COUNTIF($B:$B,$N9)</f>
        <v>3</v>
      </c>
    </row>
    <row r="10" spans="1:20" x14ac:dyDescent="0.2">
      <c r="A10" s="4" t="s">
        <v>0</v>
      </c>
      <c r="B1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0" s="3" t="str">
        <f>HYPERLINK("https://otsuka-europe-crm.veevavault.com/ui/#object/sent_email__v/VBLZ025E82HCSZA", "SE-000284029")</f>
        <v>SE-000284029</v>
      </c>
      <c r="D10" s="1">
        <v>45938.24560185185</v>
      </c>
      <c r="E10" s="2">
        <v>1</v>
      </c>
      <c r="F10" s="2">
        <v>1</v>
      </c>
      <c r="G10" s="2">
        <v>1</v>
      </c>
      <c r="H10" s="1">
        <v>45938.245671296296</v>
      </c>
      <c r="I10" s="2">
        <v>1</v>
      </c>
      <c r="J10" s="1">
        <v>45937.408564814818</v>
      </c>
      <c r="N10" t="str">
        <v>INA VAE AT E-REP - Neues vom DGHO: Orale Therapie für unfitte AML-Patienten</v>
      </c>
      <c r="O10">
        <f>SUMIF(AT!B:B,$N10,AT!E:E)</f>
        <v>0</v>
      </c>
      <c r="P10">
        <f>SUMIF(AT!B:B,$N10,AT!F:F)</f>
        <v>0</v>
      </c>
      <c r="Q10">
        <f>SUMIF(AT!B:B,$N10,AT!G:G)</f>
        <v>0</v>
      </c>
      <c r="R10">
        <f>SUMIF(AT!B:B,$N10,AT!I:I)</f>
        <v>0</v>
      </c>
      <c r="S10">
        <f>COUNTIF($B:$B,$N10)</f>
        <v>1</v>
      </c>
    </row>
    <row r="11" spans="1:20" x14ac:dyDescent="0.2">
      <c r="A11" s="4" t="s">
        <v>0</v>
      </c>
      <c r="B1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1" s="3" t="str">
        <f>HYPERLINK("https://otsuka-europe-crm.veevavault.com/ui/#object/sent_email__v/VBLZ025E82HFY91", "SE-000285181")</f>
        <v>SE-000285181</v>
      </c>
      <c r="D11" s="1">
        <v>45941.349189814813</v>
      </c>
      <c r="E11" s="2">
        <v>1</v>
      </c>
      <c r="F11" s="2">
        <v>5</v>
      </c>
      <c r="G11" s="2">
        <v>1</v>
      </c>
      <c r="H11" s="1">
        <v>45941.349490740744</v>
      </c>
      <c r="I11" s="2">
        <v>2</v>
      </c>
      <c r="J11" s="1">
        <v>45939.449432870373</v>
      </c>
      <c r="N11" t="str">
        <v>INA VAE AT EREP - Sopro ÖÄZ 2025 Experteninterview Dr. Verena Petzer</v>
      </c>
      <c r="O11">
        <f>SUMIF(AT!B:B,$N11,AT!E:E)</f>
        <v>0</v>
      </c>
      <c r="P11">
        <f>SUMIF(AT!B:B,$N11,AT!F:F)</f>
        <v>0</v>
      </c>
      <c r="Q11">
        <f>SUMIF(AT!B:B,$N11,AT!G:G)</f>
        <v>0</v>
      </c>
      <c r="R11">
        <f>SUMIF(AT!B:B,$N11,AT!I:I)</f>
        <v>0</v>
      </c>
      <c r="S11">
        <f>COUNTIF($B:$B,$N11)</f>
        <v>1</v>
      </c>
    </row>
    <row r="12" spans="1:20" x14ac:dyDescent="0.2">
      <c r="A12" s="4" t="s">
        <v>0</v>
      </c>
      <c r="B1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2" s="3" t="str">
        <f>HYPERLINK("https://otsuka-europe-crm.veevavault.com/ui/#object/sent_email__v/VBLZ025E82HKC75", "SE-000287178")</f>
        <v>SE-000287178</v>
      </c>
      <c r="D12" s="1">
        <v>45944.617824074077</v>
      </c>
      <c r="E12" s="2">
        <v>1</v>
      </c>
      <c r="F12" s="2">
        <v>2</v>
      </c>
      <c r="G12" s="2">
        <v>1</v>
      </c>
      <c r="H12" s="1">
        <v>45944.617835648147</v>
      </c>
      <c r="I12" s="2">
        <v>1</v>
      </c>
      <c r="J12" s="1">
        <v>45944.597719907404</v>
      </c>
      <c r="N12" t="str">
        <v>INA VAE AT GRIMALDI - EHA NL – Versand</v>
      </c>
      <c r="O12">
        <f>SUMIF(AT!B:B,$N12,AT!E:E)</f>
        <v>11</v>
      </c>
      <c r="P12">
        <f>SUMIF(AT!B:B,$N12,AT!F:F)</f>
        <v>15</v>
      </c>
      <c r="Q12">
        <f>SUMIF(AT!B:B,$N12,AT!G:G)</f>
        <v>0</v>
      </c>
      <c r="R12">
        <f>SUMIF(AT!B:B,$N12,AT!I:I)</f>
        <v>0</v>
      </c>
      <c r="S12">
        <f>COUNTIF($B:$B,$N12)</f>
        <v>41</v>
      </c>
    </row>
    <row r="13" spans="1:20" x14ac:dyDescent="0.2">
      <c r="A13" s="4" t="s">
        <v>0</v>
      </c>
      <c r="B1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3" s="3" t="str">
        <f>HYPERLINK("https://otsuka-europe-crm.veevavault.com/ui/#object/sent_email__v/VBLZ025E82HLWR9", "SE-000287859")</f>
        <v>SE-000287859</v>
      </c>
      <c r="D13" s="1">
        <v>45946.321655092594</v>
      </c>
      <c r="E13" s="2">
        <v>1</v>
      </c>
      <c r="F13" s="2">
        <v>1</v>
      </c>
      <c r="G13" s="2">
        <v>1</v>
      </c>
      <c r="H13" s="1">
        <v>45946.321956018517</v>
      </c>
      <c r="I13" s="2">
        <v>2</v>
      </c>
      <c r="J13" s="1">
        <v>45946.310358796298</v>
      </c>
      <c r="N13" t="str">
        <v>INA VAE AT GRIMALDI - Patienten mit TP53-Mutation</v>
      </c>
      <c r="O13">
        <f>SUMIF(AT!B:B,$N13,AT!E:E)</f>
        <v>8</v>
      </c>
      <c r="P13">
        <f>SUMIF(AT!B:B,$N13,AT!F:F)</f>
        <v>11</v>
      </c>
      <c r="Q13">
        <f>SUMIF(AT!B:B,$N13,AT!G:G)</f>
        <v>0</v>
      </c>
      <c r="R13">
        <f>SUMIF(AT!B:B,$N13,AT!I:I)</f>
        <v>0</v>
      </c>
      <c r="S13">
        <f>COUNTIF($B:$B,$N13)</f>
        <v>38</v>
      </c>
    </row>
    <row r="14" spans="1:20" x14ac:dyDescent="0.2">
      <c r="A14" s="4" t="s">
        <v>0</v>
      </c>
      <c r="B1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4" s="3" t="str">
        <f>HYPERLINK("https://otsuka-europe-crm.veevavault.com/ui/#object/sent_email__v/VBLZ025E82HMAKH", "SE-000287907")</f>
        <v>SE-000287907</v>
      </c>
      <c r="D14" s="1" t="s">
        <v>1</v>
      </c>
      <c r="E14" s="2">
        <v>0</v>
      </c>
      <c r="F14" s="2">
        <v>0</v>
      </c>
      <c r="G14" s="2">
        <v>0</v>
      </c>
      <c r="H14" s="1" t="s">
        <v>1</v>
      </c>
      <c r="I14" s="2">
        <v>0</v>
      </c>
      <c r="J14" s="1">
        <v>45946.469328703701</v>
      </c>
      <c r="N14" t="str">
        <v>INAQOVI VAE AT - E-REP_Kitteltaschenkarte 04.25</v>
      </c>
      <c r="O14">
        <f>SUMIF(AT!B:B,$N14,AT!E:E)</f>
        <v>0</v>
      </c>
      <c r="P14">
        <f>SUMIF(AT!B:B,$N14,AT!F:F)</f>
        <v>0</v>
      </c>
      <c r="Q14">
        <f>SUMIF(AT!B:B,$N14,AT!G:G)</f>
        <v>0</v>
      </c>
      <c r="R14">
        <f>SUMIF(AT!B:B,$N14,AT!I:I)</f>
        <v>0</v>
      </c>
      <c r="S14">
        <f>COUNTIF($B:$B,$N14)</f>
        <v>1</v>
      </c>
    </row>
    <row r="15" spans="1:20" x14ac:dyDescent="0.2">
      <c r="A15" s="4" t="s">
        <v>0</v>
      </c>
      <c r="B1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5" s="3" t="str">
        <f>HYPERLINK("https://otsuka-europe-crm.veevavault.com/ui/#object/sent_email__v/VBLZ025E82HMQDX", "SE-000287936")</f>
        <v>SE-000287936</v>
      </c>
      <c r="D15" s="1" t="s">
        <v>1</v>
      </c>
      <c r="E15" s="2">
        <v>0</v>
      </c>
      <c r="F15" s="2">
        <v>0</v>
      </c>
      <c r="G15" s="2">
        <v>0</v>
      </c>
      <c r="H15" s="1" t="s">
        <v>1</v>
      </c>
      <c r="I15" s="2">
        <v>0</v>
      </c>
      <c r="J15" s="1">
        <v>45946.620046296295</v>
      </c>
      <c r="N15" t="str">
        <v>INAQOVI VAE AT - E-REP_Launch Kommunikation 04.25</v>
      </c>
      <c r="O15">
        <f>SUMIF(AT!B:B,$N15,AT!E:E)</f>
        <v>1</v>
      </c>
      <c r="P15">
        <f>SUMIF(AT!B:B,$N15,AT!F:F)</f>
        <v>1</v>
      </c>
      <c r="Q15">
        <f>SUMIF(AT!B:B,$N15,AT!G:G)</f>
        <v>0</v>
      </c>
      <c r="R15">
        <f>SUMIF(AT!B:B,$N15,AT!I:I)</f>
        <v>0</v>
      </c>
      <c r="S15">
        <f>COUNTIF($B:$B,$N15)</f>
        <v>1</v>
      </c>
    </row>
    <row r="16" spans="1:20" x14ac:dyDescent="0.2">
      <c r="A16" s="4" t="s">
        <v>0</v>
      </c>
      <c r="B1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6" s="3" t="str">
        <f>HYPERLINK("https://otsuka-europe-crm.veevavault.com/ui/#object/sent_email__v/VBLZ025E82HN7Z9", "SE-000287985")</f>
        <v>SE-000287985</v>
      </c>
      <c r="D16" s="1">
        <v>45947.54959490741</v>
      </c>
      <c r="E16" s="2">
        <v>1</v>
      </c>
      <c r="F16" s="2">
        <v>2</v>
      </c>
      <c r="G16" s="2">
        <v>1</v>
      </c>
      <c r="H16" s="1">
        <v>45947.403055555558</v>
      </c>
      <c r="I16" s="2">
        <v>1</v>
      </c>
      <c r="J16" s="1">
        <v>45947.401597222219</v>
      </c>
      <c r="N16" t="str">
        <v>INAQOVI VAE AT EREP- OeGHO-Kongress 2025 Bericht</v>
      </c>
      <c r="O16">
        <f>SUMIF(AT!B:B,$N16,AT!E:E)</f>
        <v>2</v>
      </c>
      <c r="P16">
        <f>SUMIF(AT!B:B,$N16,AT!F:F)</f>
        <v>6</v>
      </c>
      <c r="Q16">
        <f>SUMIF(AT!B:B,$N16,AT!G:G)</f>
        <v>0</v>
      </c>
      <c r="R16">
        <f>SUMIF(AT!B:B,$N16,AT!I:I)</f>
        <v>0</v>
      </c>
      <c r="S16">
        <f>COUNTIF($B:$B,$N16)</f>
        <v>7</v>
      </c>
    </row>
    <row r="17" spans="1:19" x14ac:dyDescent="0.2">
      <c r="A17" s="4" t="s">
        <v>0</v>
      </c>
      <c r="B1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7" s="3" t="str">
        <f>HYPERLINK("https://otsuka-europe-crm.veevavault.com/ui/#object/sent_email__v/VBLZ025E82HOWBH", "SE-000288478")</f>
        <v>SE-000288478</v>
      </c>
      <c r="D17" s="1" t="s">
        <v>1</v>
      </c>
      <c r="E17" s="2">
        <v>0</v>
      </c>
      <c r="F17" s="2">
        <v>0</v>
      </c>
      <c r="G17" s="2">
        <v>0</v>
      </c>
      <c r="H17" s="1" t="s">
        <v>1</v>
      </c>
      <c r="I17" s="2">
        <v>0</v>
      </c>
      <c r="J17" s="1">
        <v>45950.465717592589</v>
      </c>
      <c r="N17" t="str">
        <v>VAE AT - Einladung LN Webinar Nov 2025 (Infektiologie)</v>
      </c>
      <c r="O17">
        <f>SUMIF(AT!B:B,$N17,AT!E:E)</f>
        <v>1</v>
      </c>
      <c r="P17">
        <f>SUMIF(AT!B:B,$N17,AT!F:F)</f>
        <v>1</v>
      </c>
      <c r="Q17">
        <f>SUMIF(AT!B:B,$N17,AT!G:G)</f>
        <v>0</v>
      </c>
      <c r="R17">
        <f>SUMIF(AT!B:B,$N17,AT!I:I)</f>
        <v>0</v>
      </c>
      <c r="S17">
        <f>COUNTIF($B:$B,$N17)</f>
        <v>1</v>
      </c>
    </row>
    <row r="18" spans="1:19" x14ac:dyDescent="0.2">
      <c r="A18" s="4" t="s">
        <v>0</v>
      </c>
      <c r="B1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8" s="3" t="str">
        <f>HYPERLINK("https://otsuka-europe-crm.veevavault.com/ui/#object/sent_email__v/VBLZ025E82HP3F1", "SE-000288541")</f>
        <v>SE-000288541</v>
      </c>
      <c r="D18" s="1">
        <v>45987.604837962965</v>
      </c>
      <c r="E18" s="2">
        <v>1</v>
      </c>
      <c r="F18" s="2">
        <v>2</v>
      </c>
      <c r="G18" s="2">
        <v>1</v>
      </c>
      <c r="H18" s="1">
        <v>45950.507199074076</v>
      </c>
      <c r="I18" s="2">
        <v>1</v>
      </c>
      <c r="J18" s="1">
        <v>45950.503391203703</v>
      </c>
      <c r="N18" t="str">
        <v>VAE AT - Einladung LN Webinar Nov 2025 (Nephrologie)</v>
      </c>
      <c r="O18">
        <f>SUMIF(AT!B:B,$N18,AT!E:E)</f>
        <v>15</v>
      </c>
      <c r="P18">
        <f>SUMIF(AT!B:B,$N18,AT!F:F)</f>
        <v>50</v>
      </c>
      <c r="Q18">
        <f>SUMIF(AT!B:B,$N18,AT!G:G)</f>
        <v>6</v>
      </c>
      <c r="R18">
        <f>SUMIF(AT!B:B,$N18,AT!I:I)</f>
        <v>7</v>
      </c>
      <c r="S18">
        <f>COUNTIF($B:$B,$N18)</f>
        <v>55</v>
      </c>
    </row>
    <row r="19" spans="1:19" x14ac:dyDescent="0.2">
      <c r="A19" s="4" t="s">
        <v>0</v>
      </c>
      <c r="B1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19" s="3" t="str">
        <f>HYPERLINK("https://otsuka-europe-crm.veevavault.com/ui/#object/sent_email__v/VBLZ025E82HPV71", "SE-000288839")</f>
        <v>SE-000288839</v>
      </c>
      <c r="D19" s="1" t="s">
        <v>1</v>
      </c>
      <c r="E19" s="2">
        <v>0</v>
      </c>
      <c r="F19" s="2">
        <v>0</v>
      </c>
      <c r="G19" s="2">
        <v>0</v>
      </c>
      <c r="H19" s="1" t="s">
        <v>1</v>
      </c>
      <c r="I19" s="2">
        <v>0</v>
      </c>
      <c r="J19" s="1">
        <v>45951.328321759262</v>
      </c>
      <c r="N19" t="str">
        <v>VAE AT - Einladung LN Webinar Nov 2025 (Rheumatologie)</v>
      </c>
      <c r="O19">
        <f>SUMIF(AT!B:B,$N19,AT!E:E)</f>
        <v>12</v>
      </c>
      <c r="P19">
        <f>SUMIF(AT!B:B,$N19,AT!F:F)</f>
        <v>27</v>
      </c>
      <c r="Q19">
        <f>SUMIF(AT!B:B,$N19,AT!G:G)</f>
        <v>7</v>
      </c>
      <c r="R19">
        <f>SUMIF(AT!B:B,$N19,AT!I:I)</f>
        <v>8</v>
      </c>
      <c r="S19">
        <f>COUNTIF($B:$B,$N19)</f>
        <v>29</v>
      </c>
    </row>
    <row r="20" spans="1:19" x14ac:dyDescent="0.2">
      <c r="A20" s="4" t="s">
        <v>0</v>
      </c>
      <c r="B2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0" s="3" t="str">
        <f>HYPERLINK("https://otsuka-europe-crm.veevavault.com/ui/#object/sent_email__v/VBLZ025E82HQ8RX", "SE-000288964")</f>
        <v>SE-000288964</v>
      </c>
      <c r="D20" s="1" t="s">
        <v>1</v>
      </c>
      <c r="E20" s="2">
        <v>0</v>
      </c>
      <c r="F20" s="2">
        <v>0</v>
      </c>
      <c r="G20" s="2">
        <v>0</v>
      </c>
      <c r="H20" s="1" t="s">
        <v>1</v>
      </c>
      <c r="I20" s="2">
        <v>0</v>
      </c>
      <c r="J20" s="1">
        <v>45951.466620370367</v>
      </c>
      <c r="N20" t="str">
        <v>VAE AT - Einladung Lupologen WS NÖ/B/W (Infektiologie)</v>
      </c>
      <c r="O20">
        <f>SUMIF(AT!B:B,$N20,AT!E:E)</f>
        <v>1</v>
      </c>
      <c r="P20">
        <f>SUMIF(AT!B:B,$N20,AT!F:F)</f>
        <v>2</v>
      </c>
      <c r="Q20">
        <f>SUMIF(AT!B:B,$N20,AT!G:G)</f>
        <v>0</v>
      </c>
      <c r="R20">
        <f>SUMIF(AT!B:B,$N20,AT!I:I)</f>
        <v>0</v>
      </c>
      <c r="S20">
        <f>COUNTIF($B:$B,$N20)</f>
        <v>2</v>
      </c>
    </row>
    <row r="21" spans="1:19" x14ac:dyDescent="0.2">
      <c r="A21" s="4" t="s">
        <v>0</v>
      </c>
      <c r="B2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1" s="3" t="str">
        <f>HYPERLINK("https://otsuka-europe-crm.veevavault.com/ui/#object/sent_email__v/VBLZ025E82HRR0P", "SE-000290120")</f>
        <v>SE-000290120</v>
      </c>
      <c r="D21" s="1">
        <v>45953.491076388891</v>
      </c>
      <c r="E21" s="2">
        <v>1</v>
      </c>
      <c r="F21" s="2">
        <v>3</v>
      </c>
      <c r="G21" s="2">
        <v>1</v>
      </c>
      <c r="H21" s="1">
        <v>45953.323136574072</v>
      </c>
      <c r="I21" s="2">
        <v>2</v>
      </c>
      <c r="J21" s="1">
        <v>45952.671249999999</v>
      </c>
      <c r="N21" t="str">
        <v>VAE AT - Einladung Lupologen WS NÖ/B/W (Nephrologie)</v>
      </c>
      <c r="O21">
        <f>SUMIF(AT!B:B,$N21,AT!E:E)</f>
        <v>14</v>
      </c>
      <c r="P21">
        <f>SUMIF(AT!B:B,$N21,AT!F:F)</f>
        <v>34</v>
      </c>
      <c r="Q21">
        <f>SUMIF(AT!B:B,$N21,AT!G:G)</f>
        <v>10</v>
      </c>
      <c r="R21">
        <f>SUMIF(AT!B:B,$N21,AT!I:I)</f>
        <v>35</v>
      </c>
      <c r="S21">
        <f>COUNTIF($B:$B,$N21)</f>
        <v>66</v>
      </c>
    </row>
    <row r="22" spans="1:19" x14ac:dyDescent="0.2">
      <c r="A22" s="4" t="s">
        <v>0</v>
      </c>
      <c r="B2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2" s="3" t="str">
        <f>HYPERLINK("https://otsuka-europe-crm.veevavault.com/ui/#object/sent_email__v/VBLZ025E82HS5G5", "SE-000290299")</f>
        <v>SE-000290299</v>
      </c>
      <c r="D22" s="1">
        <v>45953.498935185184</v>
      </c>
      <c r="E22" s="2">
        <v>1</v>
      </c>
      <c r="F22" s="2">
        <v>4</v>
      </c>
      <c r="G22" s="2">
        <v>0</v>
      </c>
      <c r="H22" s="1" t="s">
        <v>1</v>
      </c>
      <c r="I22" s="2">
        <v>0</v>
      </c>
      <c r="J22" s="1">
        <v>45953.408761574072</v>
      </c>
      <c r="N22" t="str">
        <v>VAE AT - Einladung Lupologen WS NÖ/B/W (Rheumatologie)</v>
      </c>
      <c r="O22">
        <f>SUMIF(AT!B:B,$N22,AT!E:E)</f>
        <v>24</v>
      </c>
      <c r="P22">
        <f>SUMIF(AT!B:B,$N22,AT!F:F)</f>
        <v>49</v>
      </c>
      <c r="Q22">
        <f>SUMIF(AT!B:B,$N22,AT!G:G)</f>
        <v>15</v>
      </c>
      <c r="R22">
        <f>SUMIF(AT!B:B,$N22,AT!I:I)</f>
        <v>39</v>
      </c>
      <c r="S22">
        <f>COUNTIF($B:$B,$N22)</f>
        <v>38</v>
      </c>
    </row>
    <row r="23" spans="1:19" x14ac:dyDescent="0.2">
      <c r="A23" s="4" t="s">
        <v>0</v>
      </c>
      <c r="B2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3" s="3" t="str">
        <f>HYPERLINK("https://otsuka-europe-crm.veevavault.com/ui/#object/sent_email__v/VBLZ025E82HSG0P", "SE-000290320")</f>
        <v>SE-000290320</v>
      </c>
      <c r="D23" s="1" t="s">
        <v>1</v>
      </c>
      <c r="E23" s="2">
        <v>0</v>
      </c>
      <c r="F23" s="2">
        <v>0</v>
      </c>
      <c r="G23" s="2">
        <v>0</v>
      </c>
      <c r="H23" s="1" t="s">
        <v>1</v>
      </c>
      <c r="I23" s="2">
        <v>0</v>
      </c>
      <c r="J23" s="1">
        <v>45953.498668981483</v>
      </c>
      <c r="N23" t="str">
        <v>VAE AT - Jinarc Grüne Box (Nephrologie)</v>
      </c>
      <c r="O23">
        <f>SUMIF(AT!B:B,$N23,AT!E:E)</f>
        <v>5</v>
      </c>
      <c r="P23">
        <f>SUMIF(AT!B:B,$N23,AT!F:F)</f>
        <v>6</v>
      </c>
      <c r="Q23">
        <f>SUMIF(AT!B:B,$N23,AT!G:G)</f>
        <v>0</v>
      </c>
      <c r="R23">
        <f>SUMIF(AT!B:B,$N23,AT!I:I)</f>
        <v>0</v>
      </c>
      <c r="S23">
        <f>COUNTIF($B:$B,$N23)</f>
        <v>37</v>
      </c>
    </row>
    <row r="24" spans="1:19" x14ac:dyDescent="0.2">
      <c r="A24" s="4" t="s">
        <v>0</v>
      </c>
      <c r="B2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4" s="3" t="str">
        <f>HYPERLINK("https://otsuka-europe-crm.veevavault.com/ui/#object/sent_email__v/VBLZ025E82HSO75", "SE-000290498")</f>
        <v>SE-000290498</v>
      </c>
      <c r="D24" s="1" t="s">
        <v>1</v>
      </c>
      <c r="E24" s="2">
        <v>0</v>
      </c>
      <c r="F24" s="2">
        <v>0</v>
      </c>
      <c r="G24" s="2">
        <v>0</v>
      </c>
      <c r="H24" s="1" t="s">
        <v>1</v>
      </c>
      <c r="I24" s="2">
        <v>0</v>
      </c>
      <c r="J24" s="1">
        <v>45953.597557870373</v>
      </c>
      <c r="N24" t="str">
        <v>VAE AT - Save the Date LN Webinar OPEL Nov 2025 (Infektiologie)</v>
      </c>
      <c r="O24">
        <f>SUMIF(AT!B:B,$N24,AT!E:E)</f>
        <v>1</v>
      </c>
      <c r="P24">
        <f>SUMIF(AT!B:B,$N24,AT!F:F)</f>
        <v>2</v>
      </c>
      <c r="Q24">
        <f>SUMIF(AT!B:B,$N24,AT!G:G)</f>
        <v>0</v>
      </c>
      <c r="R24">
        <f>SUMIF(AT!B:B,$N24,AT!I:I)</f>
        <v>0</v>
      </c>
      <c r="S24">
        <f>COUNTIF($B:$B,$N24)</f>
        <v>1</v>
      </c>
    </row>
    <row r="25" spans="1:19" x14ac:dyDescent="0.2">
      <c r="A25" s="4" t="s">
        <v>0</v>
      </c>
      <c r="B2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5" s="3" t="str">
        <f>HYPERLINK("https://otsuka-europe-crm.veevavault.com/ui/#object/sent_email__v/VBL000000002403", "SE-001379216")</f>
        <v>SE-001379216</v>
      </c>
      <c r="D25" s="1" t="s">
        <v>1</v>
      </c>
      <c r="E25" s="2">
        <v>0</v>
      </c>
      <c r="F25" s="2">
        <v>0</v>
      </c>
      <c r="G25" s="2">
        <v>0</v>
      </c>
      <c r="H25" s="1" t="s">
        <v>1</v>
      </c>
      <c r="I25" s="2">
        <v>0</v>
      </c>
      <c r="J25" s="1">
        <v>45959.264247685183</v>
      </c>
      <c r="N25" t="str">
        <v>VAE AT - Save the Date LN Webinar OPEL Nov 2025 (Nephrologie)</v>
      </c>
      <c r="O25">
        <f>SUMIF(AT!B:B,$N25,AT!E:E)</f>
        <v>10</v>
      </c>
      <c r="P25">
        <f>SUMIF(AT!B:B,$N25,AT!F:F)</f>
        <v>19</v>
      </c>
      <c r="Q25">
        <f>SUMIF(AT!B:B,$N25,AT!G:G)</f>
        <v>0</v>
      </c>
      <c r="R25">
        <f>SUMIF(AT!B:B,$N25,AT!I:I)</f>
        <v>0</v>
      </c>
      <c r="S25">
        <f>COUNTIF($B:$B,$N25)</f>
        <v>58</v>
      </c>
    </row>
    <row r="26" spans="1:19" x14ac:dyDescent="0.2">
      <c r="A26" s="4" t="s">
        <v>0</v>
      </c>
      <c r="B2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6" s="3" t="str">
        <f>HYPERLINK("https://otsuka-europe-crm.veevavault.com/ui/#object/sent_email__v/VBL000000002405", "SE-001379218")</f>
        <v>SE-001379218</v>
      </c>
      <c r="D26" s="1" t="s">
        <v>1</v>
      </c>
      <c r="E26" s="2">
        <v>0</v>
      </c>
      <c r="F26" s="2">
        <v>0</v>
      </c>
      <c r="G26" s="2">
        <v>0</v>
      </c>
      <c r="H26" s="1" t="s">
        <v>1</v>
      </c>
      <c r="I26" s="2">
        <v>0</v>
      </c>
      <c r="J26" s="1">
        <v>45959.27138888889</v>
      </c>
      <c r="N26" t="str">
        <v>VAE AT - Save the Date LN Webinar OPEL Nov 2025 (Rheumatologie)</v>
      </c>
      <c r="O26">
        <f>SUMIF(AT!B:B,$N26,AT!E:E)</f>
        <v>11</v>
      </c>
      <c r="P26">
        <f>SUMIF(AT!B:B,$N26,AT!F:F)</f>
        <v>25</v>
      </c>
      <c r="Q26">
        <f>SUMIF(AT!B:B,$N26,AT!G:G)</f>
        <v>2</v>
      </c>
      <c r="R26">
        <f>SUMIF(AT!B:B,$N26,AT!I:I)</f>
        <v>2</v>
      </c>
      <c r="S26">
        <f>COUNTIF($B:$B,$N26)</f>
        <v>31</v>
      </c>
    </row>
    <row r="27" spans="1:19" x14ac:dyDescent="0.2">
      <c r="A27" s="4" t="s">
        <v>0</v>
      </c>
      <c r="B2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7" s="3" t="str">
        <f>HYPERLINK("https://otsuka-europe-crm.veevavault.com/ui/#object/sent_email__v/VBL000000002407", "SE-001379220")</f>
        <v>SE-001379220</v>
      </c>
      <c r="D27" s="1">
        <v>45959.529282407406</v>
      </c>
      <c r="E27" s="2">
        <v>1</v>
      </c>
      <c r="F27" s="2">
        <v>1</v>
      </c>
      <c r="G27" s="2">
        <v>0</v>
      </c>
      <c r="H27" s="1" t="s">
        <v>1</v>
      </c>
      <c r="I27" s="2">
        <v>0</v>
      </c>
      <c r="J27" s="1">
        <v>45959.296678240738</v>
      </c>
      <c r="N27" t="str">
        <v>VAE AT - Save the Date Lupologen WS (Infektiologie)</v>
      </c>
      <c r="O27">
        <f>SUMIF(AT!B:B,$N27,AT!E:E)</f>
        <v>1</v>
      </c>
      <c r="P27">
        <f>SUMIF(AT!B:B,$N27,AT!F:F)</f>
        <v>2</v>
      </c>
      <c r="Q27">
        <f>SUMIF(AT!B:B,$N27,AT!G:G)</f>
        <v>0</v>
      </c>
      <c r="R27">
        <f>SUMIF(AT!B:B,$N27,AT!I:I)</f>
        <v>0</v>
      </c>
      <c r="S27">
        <f>COUNTIF($B:$B,$N27)</f>
        <v>2</v>
      </c>
    </row>
    <row r="28" spans="1:19" x14ac:dyDescent="0.2">
      <c r="A28" s="4" t="s">
        <v>0</v>
      </c>
      <c r="B2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8" s="3" t="str">
        <f>HYPERLINK("https://otsuka-europe-crm.veevavault.com/ui/#object/sent_email__v/VBL000000003190", "SE-001379222")</f>
        <v>SE-001379222</v>
      </c>
      <c r="D28" s="1" t="s">
        <v>1</v>
      </c>
      <c r="E28" s="2">
        <v>0</v>
      </c>
      <c r="F28" s="2">
        <v>0</v>
      </c>
      <c r="G28" s="2">
        <v>0</v>
      </c>
      <c r="H28" s="1" t="s">
        <v>1</v>
      </c>
      <c r="I28" s="2">
        <v>0</v>
      </c>
      <c r="J28" s="1">
        <v>45959.301412037035</v>
      </c>
      <c r="N28" t="str">
        <v>VAE AT - Save the Date Lupologen WS (Nephrologie)</v>
      </c>
      <c r="O28">
        <f>SUMIF(AT!B:B,$N28,AT!E:E)</f>
        <v>10</v>
      </c>
      <c r="P28">
        <f>SUMIF(AT!B:B,$N28,AT!F:F)</f>
        <v>36</v>
      </c>
      <c r="Q28">
        <f>SUMIF(AT!B:B,$N28,AT!G:G)</f>
        <v>1</v>
      </c>
      <c r="R28">
        <f>SUMIF(AT!B:B,$N28,AT!I:I)</f>
        <v>2</v>
      </c>
      <c r="S28">
        <f>COUNTIF($B:$B,$N28)</f>
        <v>36</v>
      </c>
    </row>
    <row r="29" spans="1:19" x14ac:dyDescent="0.2">
      <c r="A29" s="4" t="s">
        <v>0</v>
      </c>
      <c r="B2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29" s="3" t="str">
        <f>HYPERLINK("https://otsuka-europe-crm.veevavault.com/ui/#object/sent_email__v/VBL000000002409", "SE-001379225")</f>
        <v>SE-001379225</v>
      </c>
      <c r="D29" s="1" t="s">
        <v>1</v>
      </c>
      <c r="E29" s="2">
        <v>0</v>
      </c>
      <c r="F29" s="2">
        <v>0</v>
      </c>
      <c r="G29" s="2">
        <v>0</v>
      </c>
      <c r="H29" s="1" t="s">
        <v>1</v>
      </c>
      <c r="I29" s="2">
        <v>0</v>
      </c>
      <c r="J29" s="1">
        <v>45959.306157407409</v>
      </c>
      <c r="N29" t="str">
        <v>VAE AT - Symposiumsbericht ÖGN Wintermeeting 2025 (Infektiologie)</v>
      </c>
      <c r="O29">
        <f>SUMIF(AT!B:B,$N29,AT!E:E)</f>
        <v>0</v>
      </c>
      <c r="P29">
        <f>SUMIF(AT!B:B,$N29,AT!F:F)</f>
        <v>0</v>
      </c>
      <c r="Q29">
        <f>SUMIF(AT!B:B,$N29,AT!G:G)</f>
        <v>0</v>
      </c>
      <c r="R29">
        <f>SUMIF(AT!B:B,$N29,AT!I:I)</f>
        <v>0</v>
      </c>
      <c r="S29">
        <f>COUNTIF($B:$B,$N29)</f>
        <v>1</v>
      </c>
    </row>
    <row r="30" spans="1:19" x14ac:dyDescent="0.2">
      <c r="A30" s="4" t="s">
        <v>0</v>
      </c>
      <c r="B3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0" s="3" t="str">
        <f>HYPERLINK("https://otsuka-europe-crm.veevavault.com/ui/#object/sent_email__v/VBL000000002410", "SE-001379226")</f>
        <v>SE-001379226</v>
      </c>
      <c r="D30" s="1" t="s">
        <v>1</v>
      </c>
      <c r="E30" s="2">
        <v>0</v>
      </c>
      <c r="F30" s="2">
        <v>0</v>
      </c>
      <c r="G30" s="2">
        <v>0</v>
      </c>
      <c r="H30" s="1" t="s">
        <v>1</v>
      </c>
      <c r="I30" s="2">
        <v>0</v>
      </c>
      <c r="J30" s="1">
        <v>45959.327673611115</v>
      </c>
      <c r="N30" t="str">
        <v>VAE AT - Symposiumsbericht ÖGN Wintermeeting 2025 (Nephrologie)</v>
      </c>
      <c r="O30">
        <f>SUMIF(AT!B:B,$N30,AT!E:E)</f>
        <v>16</v>
      </c>
      <c r="P30">
        <f>SUMIF(AT!B:B,$N30,AT!F:F)</f>
        <v>21</v>
      </c>
      <c r="Q30">
        <f>SUMIF(AT!B:B,$N30,AT!G:G)</f>
        <v>10</v>
      </c>
      <c r="R30">
        <f>SUMIF(AT!B:B,$N30,AT!I:I)</f>
        <v>11</v>
      </c>
      <c r="S30">
        <f>COUNTIF($B:$B,$N30)</f>
        <v>49</v>
      </c>
    </row>
    <row r="31" spans="1:19" x14ac:dyDescent="0.2">
      <c r="A31" s="4" t="s">
        <v>0</v>
      </c>
      <c r="B3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1" s="3" t="str">
        <f>HYPERLINK("https://otsuka-europe-crm.veevavault.com/ui/#object/sent_email__v/VBL000000002412", "SE-001379228")</f>
        <v>SE-001379228</v>
      </c>
      <c r="D31" s="1" t="s">
        <v>1</v>
      </c>
      <c r="E31" s="2">
        <v>0</v>
      </c>
      <c r="F31" s="2">
        <v>0</v>
      </c>
      <c r="G31" s="2">
        <v>0</v>
      </c>
      <c r="H31" s="1" t="s">
        <v>1</v>
      </c>
      <c r="I31" s="2">
        <v>0</v>
      </c>
      <c r="J31" s="1">
        <v>45959.334976851853</v>
      </c>
      <c r="N31" t="str">
        <v>VAE AT - Symposiumsbericht ÖGN Wintermeeting 2025 (Rheumatologie)</v>
      </c>
      <c r="O31">
        <f>SUMIF(AT!B:B,$N31,AT!E:E)</f>
        <v>9</v>
      </c>
      <c r="P31">
        <f>SUMIF(AT!B:B,$N31,AT!F:F)</f>
        <v>10</v>
      </c>
      <c r="Q31">
        <f>SUMIF(AT!B:B,$N31,AT!G:G)</f>
        <v>4</v>
      </c>
      <c r="R31">
        <f>SUMIF(AT!B:B,$N31,AT!I:I)</f>
        <v>4</v>
      </c>
      <c r="S31">
        <f>COUNTIF($B:$B,$N31)</f>
        <v>27</v>
      </c>
    </row>
    <row r="32" spans="1:19" x14ac:dyDescent="0.2">
      <c r="A32" s="4" t="s">
        <v>0</v>
      </c>
      <c r="B3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2" s="3" t="str">
        <f>HYPERLINK("https://otsuka-europe-crm.veevavault.com/ui/#object/sent_email__v/VBL000000005373", "SE-001380244")</f>
        <v>SE-001380244</v>
      </c>
      <c r="D32" s="1" t="s">
        <v>1</v>
      </c>
      <c r="E32" s="2">
        <v>0</v>
      </c>
      <c r="F32" s="2">
        <v>0</v>
      </c>
      <c r="G32" s="2">
        <v>0</v>
      </c>
      <c r="H32" s="1" t="s">
        <v>1</v>
      </c>
      <c r="I32" s="2">
        <v>0</v>
      </c>
      <c r="J32" s="1">
        <v>45964.253877314812</v>
      </c>
      <c r="N32" t="str">
        <v>VAE AT E-REP - 3g UPCR (Nephrologie)</v>
      </c>
      <c r="O32">
        <f>SUMIF(AT!B:B,$N32,AT!E:E)</f>
        <v>0</v>
      </c>
      <c r="P32">
        <f>SUMIF(AT!B:B,$N32,AT!F:F)</f>
        <v>0</v>
      </c>
      <c r="Q32">
        <f>SUMIF(AT!B:B,$N32,AT!G:G)</f>
        <v>0</v>
      </c>
      <c r="R32">
        <f>SUMIF(AT!B:B,$N32,AT!I:I)</f>
        <v>0</v>
      </c>
      <c r="S32">
        <f>COUNTIF($B:$B,$N32)</f>
        <v>1</v>
      </c>
    </row>
    <row r="33" spans="1:19" x14ac:dyDescent="0.2">
      <c r="A33" s="4" t="s">
        <v>0</v>
      </c>
      <c r="B3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3" s="3" t="str">
        <f>HYPERLINK("https://otsuka-europe-crm.veevavault.com/ui/#object/sent_email__v/VBL000000005374", "SE-001380245")</f>
        <v>SE-001380245</v>
      </c>
      <c r="D33" s="1">
        <v>45970.648148148146</v>
      </c>
      <c r="E33" s="2">
        <v>1</v>
      </c>
      <c r="F33" s="2">
        <v>1</v>
      </c>
      <c r="G33" s="2">
        <v>1</v>
      </c>
      <c r="H33" s="1">
        <v>45970.648206018515</v>
      </c>
      <c r="I33" s="2">
        <v>1</v>
      </c>
      <c r="J33" s="1">
        <v>45964.25986111111</v>
      </c>
      <c r="N33" t="str">
        <v>VAE AT E-REP - Bericht Otsuka-Symposium ÖGN 2024 (Nephrologie)</v>
      </c>
      <c r="O33">
        <f>SUMIF(AT!B:B,$N33,AT!E:E)</f>
        <v>2</v>
      </c>
      <c r="P33">
        <f>SUMIF(AT!B:B,$N33,AT!F:F)</f>
        <v>4</v>
      </c>
      <c r="Q33">
        <f>SUMIF(AT!B:B,$N33,AT!G:G)</f>
        <v>1</v>
      </c>
      <c r="R33">
        <f>SUMIF(AT!B:B,$N33,AT!I:I)</f>
        <v>1</v>
      </c>
      <c r="S33">
        <f>COUNTIF($B:$B,$N33)</f>
        <v>4</v>
      </c>
    </row>
    <row r="34" spans="1:19" x14ac:dyDescent="0.2">
      <c r="A34" s="4" t="s">
        <v>0</v>
      </c>
      <c r="B3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4" s="3" t="str">
        <f>HYPERLINK("https://otsuka-europe-crm.veevavault.com/ui/#object/sent_email__v/VBL000000005375", "SE-001380246")</f>
        <v>SE-001380246</v>
      </c>
      <c r="D34" s="1">
        <v>45964.261655092596</v>
      </c>
      <c r="E34" s="2">
        <v>1</v>
      </c>
      <c r="F34" s="2">
        <v>1</v>
      </c>
      <c r="G34" s="2">
        <v>1</v>
      </c>
      <c r="H34" s="1">
        <v>45964.261655092596</v>
      </c>
      <c r="I34" s="2">
        <v>1</v>
      </c>
      <c r="J34" s="1">
        <v>45964.261273148149</v>
      </c>
      <c r="N34" t="str">
        <v>VAE AT E-REP - Bericht Otsuka-Symposium ÖGN 2024 (Rheumatologie)</v>
      </c>
      <c r="O34">
        <f>SUMIF(AT!B:B,$N34,AT!E:E)</f>
        <v>0</v>
      </c>
      <c r="P34">
        <f>SUMIF(AT!B:B,$N34,AT!F:F)</f>
        <v>0</v>
      </c>
      <c r="Q34">
        <f>SUMIF(AT!B:B,$N34,AT!G:G)</f>
        <v>0</v>
      </c>
      <c r="R34">
        <f>SUMIF(AT!B:B,$N34,AT!I:I)</f>
        <v>0</v>
      </c>
      <c r="S34">
        <f>COUNTIF($B:$B,$N34)</f>
        <v>3</v>
      </c>
    </row>
    <row r="35" spans="1:19" x14ac:dyDescent="0.2">
      <c r="A35" s="4" t="s">
        <v>0</v>
      </c>
      <c r="B3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5" s="3" t="str">
        <f>HYPERLINK("https://otsuka-europe-crm.veevavault.com/ui/#object/sent_email__v/VBL000000004203", "SE-001380255")</f>
        <v>SE-001380255</v>
      </c>
      <c r="D35" s="1" t="s">
        <v>1</v>
      </c>
      <c r="E35" s="2">
        <v>0</v>
      </c>
      <c r="F35" s="2">
        <v>0</v>
      </c>
      <c r="G35" s="2">
        <v>0</v>
      </c>
      <c r="H35" s="1" t="s">
        <v>1</v>
      </c>
      <c r="I35" s="2">
        <v>0</v>
      </c>
      <c r="J35" s="1">
        <v>45964.312291666669</v>
      </c>
      <c r="N35" t="str">
        <v>VAE AT E-REP - CNI Differenzierung V2.0 (Nephrologie)</v>
      </c>
      <c r="O35">
        <f>SUMIF(AT!B:B,$N35,AT!E:E)</f>
        <v>0</v>
      </c>
      <c r="P35">
        <f>SUMIF(AT!B:B,$N35,AT!F:F)</f>
        <v>0</v>
      </c>
      <c r="Q35">
        <f>SUMIF(AT!B:B,$N35,AT!G:G)</f>
        <v>0</v>
      </c>
      <c r="R35">
        <f>SUMIF(AT!B:B,$N35,AT!I:I)</f>
        <v>0</v>
      </c>
      <c r="S35">
        <f>COUNTIF($B:$B,$N35)</f>
        <v>3</v>
      </c>
    </row>
    <row r="36" spans="1:19" x14ac:dyDescent="0.2">
      <c r="A36" s="4" t="s">
        <v>0</v>
      </c>
      <c r="B3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6" s="3" t="str">
        <f>HYPERLINK("https://otsuka-europe-crm.veevavault.com/ui/#object/sent_email__v/VBL000000004249", "SE-001380465")</f>
        <v>SE-001380465</v>
      </c>
      <c r="D36" s="1">
        <v>45987.981886574074</v>
      </c>
      <c r="E36" s="2">
        <v>1</v>
      </c>
      <c r="F36" s="2">
        <v>5</v>
      </c>
      <c r="G36" s="2">
        <v>0</v>
      </c>
      <c r="H36" s="1" t="s">
        <v>1</v>
      </c>
      <c r="I36" s="2">
        <v>0</v>
      </c>
      <c r="J36" s="1">
        <v>45964.505127314813</v>
      </c>
      <c r="N36" t="str">
        <v>VAE AT E-REP - CNI Differenzierung V2.0 (Rheumatologie)</v>
      </c>
      <c r="O36">
        <f>SUMIF(AT!B:B,$N36,AT!E:E)</f>
        <v>0</v>
      </c>
      <c r="P36">
        <f>SUMIF(AT!B:B,$N36,AT!F:F)</f>
        <v>0</v>
      </c>
      <c r="Q36">
        <f>SUMIF(AT!B:B,$N36,AT!G:G)</f>
        <v>0</v>
      </c>
      <c r="R36">
        <f>SUMIF(AT!B:B,$N36,AT!I:I)</f>
        <v>0</v>
      </c>
      <c r="S36">
        <f>COUNTIF($B:$B,$N36)</f>
        <v>6</v>
      </c>
    </row>
    <row r="37" spans="1:19" x14ac:dyDescent="0.2">
      <c r="A37" s="4" t="s">
        <v>0</v>
      </c>
      <c r="B3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7" s="3" t="str">
        <f>HYPERLINK("https://otsuka-europe-crm.veevavault.com/ui/#object/sent_email__v/VBL000000004251", "SE-001380467")</f>
        <v>SE-001380467</v>
      </c>
      <c r="D37" s="1" t="s">
        <v>1</v>
      </c>
      <c r="E37" s="2">
        <v>0</v>
      </c>
      <c r="F37" s="2">
        <v>0</v>
      </c>
      <c r="G37" s="2">
        <v>0</v>
      </c>
      <c r="H37" s="1" t="s">
        <v>1</v>
      </c>
      <c r="I37" s="2">
        <v>0</v>
      </c>
      <c r="J37" s="1">
        <v>45964.510659722226</v>
      </c>
      <c r="N37" t="str">
        <v>VAE AT E-REP - Einladung LN Webinar Nov 2025 (Nephrologie)</v>
      </c>
      <c r="O37">
        <f>SUMIF(AT!B:B,$N37,AT!E:E)</f>
        <v>0</v>
      </c>
      <c r="P37">
        <f>SUMIF(AT!B:B,$N37,AT!F:F)</f>
        <v>0</v>
      </c>
      <c r="Q37">
        <f>SUMIF(AT!B:B,$N37,AT!G:G)</f>
        <v>0</v>
      </c>
      <c r="R37">
        <f>SUMIF(AT!B:B,$N37,AT!I:I)</f>
        <v>0</v>
      </c>
      <c r="S37">
        <f>COUNTIF($B:$B,$N37)</f>
        <v>1</v>
      </c>
    </row>
    <row r="38" spans="1:19" x14ac:dyDescent="0.2">
      <c r="A38" s="4" t="s">
        <v>0</v>
      </c>
      <c r="B3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8" s="3" t="str">
        <f>HYPERLINK("https://otsuka-europe-crm.veevavault.com/ui/#object/sent_email__v/VBL000000004448", "SE-001380762")</f>
        <v>SE-001380762</v>
      </c>
      <c r="D38" s="1" t="s">
        <v>1</v>
      </c>
      <c r="E38" s="2">
        <v>0</v>
      </c>
      <c r="F38" s="2">
        <v>0</v>
      </c>
      <c r="G38" s="2">
        <v>0</v>
      </c>
      <c r="H38" s="1" t="s">
        <v>1</v>
      </c>
      <c r="I38" s="2">
        <v>0</v>
      </c>
      <c r="J38" s="1">
        <v>45965.56790509259</v>
      </c>
      <c r="N38" t="str">
        <v>VAE AT E-REP - Einladung LN Webinar Nov 2025 (Rheumatologie)</v>
      </c>
      <c r="O38">
        <f>SUMIF(AT!B:B,$N38,AT!E:E)</f>
        <v>0</v>
      </c>
      <c r="P38">
        <f>SUMIF(AT!B:B,$N38,AT!F:F)</f>
        <v>0</v>
      </c>
      <c r="Q38">
        <f>SUMIF(AT!B:B,$N38,AT!G:G)</f>
        <v>0</v>
      </c>
      <c r="R38">
        <f>SUMIF(AT!B:B,$N38,AT!I:I)</f>
        <v>0</v>
      </c>
      <c r="S38">
        <f>COUNTIF($B:$B,$N38)</f>
        <v>5</v>
      </c>
    </row>
    <row r="39" spans="1:19" x14ac:dyDescent="0.2">
      <c r="A39" s="4" t="s">
        <v>0</v>
      </c>
      <c r="B3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39" s="3" t="str">
        <f>HYPERLINK("https://otsuka-europe-crm.veevavault.com/ui/#object/sent_email__v/VBL000000004538", "SE-001380879")</f>
        <v>SE-001380879</v>
      </c>
      <c r="D39" s="1">
        <v>45968.488275462965</v>
      </c>
      <c r="E39" s="2">
        <v>1</v>
      </c>
      <c r="F39" s="2">
        <v>1</v>
      </c>
      <c r="G39" s="2">
        <v>1</v>
      </c>
      <c r="H39" s="1">
        <v>45968.488275462965</v>
      </c>
      <c r="I39" s="2">
        <v>1</v>
      </c>
      <c r="J39" s="1">
        <v>45966.412777777776</v>
      </c>
      <c r="N39" t="str">
        <v>VAE AT E-REP - Einladung LN Webinar OPEL Nov 2025 (Nephrologie)</v>
      </c>
      <c r="O39">
        <f>SUMIF(AT!B:B,$N39,AT!E:E)</f>
        <v>1</v>
      </c>
      <c r="P39">
        <f>SUMIF(AT!B:B,$N39,AT!F:F)</f>
        <v>1</v>
      </c>
      <c r="Q39">
        <f>SUMIF(AT!B:B,$N39,AT!G:G)</f>
        <v>0</v>
      </c>
      <c r="R39">
        <f>SUMIF(AT!B:B,$N39,AT!I:I)</f>
        <v>0</v>
      </c>
      <c r="S39">
        <f>COUNTIF($B:$B,$N39)</f>
        <v>3</v>
      </c>
    </row>
    <row r="40" spans="1:19" x14ac:dyDescent="0.2">
      <c r="A40" s="4" t="s">
        <v>0</v>
      </c>
      <c r="B4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0" s="3" t="str">
        <f>HYPERLINK("https://otsuka-europe-crm.veevavault.com/ui/#object/sent_email__v/VBL000000006002", "SE-001380882")</f>
        <v>SE-001380882</v>
      </c>
      <c r="D40" s="1">
        <v>45967.292939814812</v>
      </c>
      <c r="E40" s="2">
        <v>1</v>
      </c>
      <c r="F40" s="2">
        <v>3</v>
      </c>
      <c r="G40" s="2">
        <v>1</v>
      </c>
      <c r="H40" s="1">
        <v>45967.293252314812</v>
      </c>
      <c r="I40" s="2">
        <v>1</v>
      </c>
      <c r="J40" s="1">
        <v>45966.437951388885</v>
      </c>
      <c r="N40" t="str">
        <v>VAE AT E-REP - Einladung Lupologen WS NÖ/B/W (Rheumatologie)</v>
      </c>
      <c r="O40">
        <f>SUMIF(AT!B:B,$N40,AT!E:E)</f>
        <v>0</v>
      </c>
      <c r="P40">
        <f>SUMIF(AT!B:B,$N40,AT!F:F)</f>
        <v>0</v>
      </c>
      <c r="Q40">
        <f>SUMIF(AT!B:B,$N40,AT!G:G)</f>
        <v>0</v>
      </c>
      <c r="R40">
        <f>SUMIF(AT!B:B,$N40,AT!I:I)</f>
        <v>0</v>
      </c>
      <c r="S40">
        <f>COUNTIF($B:$B,$N40)</f>
        <v>3</v>
      </c>
    </row>
    <row r="41" spans="1:19" x14ac:dyDescent="0.2">
      <c r="A41" s="4" t="s">
        <v>0</v>
      </c>
      <c r="B4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1" s="3" t="str">
        <f>HYPERLINK("https://otsuka-europe-crm.veevavault.com/ui/#object/sent_email__v/VBL000000006058", "SE-001380945")</f>
        <v>SE-001380945</v>
      </c>
      <c r="D41" s="1">
        <v>45967.38722222222</v>
      </c>
      <c r="E41" s="2">
        <v>1</v>
      </c>
      <c r="F41" s="2">
        <v>1</v>
      </c>
      <c r="G41" s="2">
        <v>1</v>
      </c>
      <c r="H41" s="1">
        <v>45967.38722222222</v>
      </c>
      <c r="I41" s="2">
        <v>1</v>
      </c>
      <c r="J41" s="1">
        <v>45967.34306712963</v>
      </c>
      <c r="N41" t="str">
        <v>VAE AT E-REP - Save the Date Lupologen WS (Nephrologie)</v>
      </c>
      <c r="O41">
        <f>SUMIF(AT!B:B,$N41,AT!E:E)</f>
        <v>0</v>
      </c>
      <c r="P41">
        <f>SUMIF(AT!B:B,$N41,AT!F:F)</f>
        <v>0</v>
      </c>
      <c r="Q41">
        <f>SUMIF(AT!B:B,$N41,AT!G:G)</f>
        <v>0</v>
      </c>
      <c r="R41">
        <f>SUMIF(AT!B:B,$N41,AT!I:I)</f>
        <v>0</v>
      </c>
      <c r="S41">
        <f>COUNTIF($B:$B,$N41)</f>
        <v>2</v>
      </c>
    </row>
    <row r="42" spans="1:19" x14ac:dyDescent="0.2">
      <c r="A42" s="4" t="s">
        <v>0</v>
      </c>
      <c r="B4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2" s="3" t="str">
        <f>HYPERLINK("https://otsuka-europe-crm.veevavault.com/ui/#object/sent_email__v/VBL000000006059", "SE-001380947")</f>
        <v>SE-001380947</v>
      </c>
      <c r="D42" s="1">
        <v>45971.390335648146</v>
      </c>
      <c r="E42" s="2">
        <v>1</v>
      </c>
      <c r="F42" s="2">
        <v>3</v>
      </c>
      <c r="G42" s="2">
        <v>1</v>
      </c>
      <c r="H42" s="1">
        <v>45967.354178240741</v>
      </c>
      <c r="I42" s="2">
        <v>1</v>
      </c>
      <c r="J42" s="1">
        <v>45967.348935185182</v>
      </c>
      <c r="N42" t="str">
        <v>VAE AT E-REP - Save the Date Lupologen WS (Rheumatologie)</v>
      </c>
      <c r="O42">
        <f>SUMIF(AT!B:B,$N42,AT!E:E)</f>
        <v>11</v>
      </c>
      <c r="P42">
        <f>SUMIF(AT!B:B,$N42,AT!F:F)</f>
        <v>24</v>
      </c>
      <c r="Q42">
        <f>SUMIF(AT!B:B,$N42,AT!G:G)</f>
        <v>2</v>
      </c>
      <c r="R42">
        <f>SUMIF(AT!B:B,$N42,AT!I:I)</f>
        <v>4</v>
      </c>
      <c r="S42">
        <f>COUNTIF($B:$B,$N42)</f>
        <v>21</v>
      </c>
    </row>
    <row r="43" spans="1:19" x14ac:dyDescent="0.2">
      <c r="A43" s="4" t="s">
        <v>0</v>
      </c>
      <c r="B4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3" s="3" t="str">
        <f>HYPERLINK("https://otsuka-europe-crm.veevavault.com/ui/#object/sent_email__v/VBL000000004744", "SE-001381209")</f>
        <v>SE-001381209</v>
      </c>
      <c r="D43" s="1">
        <v>45970.635092592594</v>
      </c>
      <c r="E43" s="2">
        <v>1</v>
      </c>
      <c r="F43" s="2">
        <v>1</v>
      </c>
      <c r="G43" s="2">
        <v>1</v>
      </c>
      <c r="H43" s="1">
        <v>45970.635578703703</v>
      </c>
      <c r="I43" s="2">
        <v>2</v>
      </c>
      <c r="J43" s="1">
        <v>45967.496192129627</v>
      </c>
      <c r="N43" t="str">
        <v>VAE AT E-REP - SoftConsent (Rheumatologie)</v>
      </c>
      <c r="O43">
        <f>SUMIF(AT!B:B,$N43,AT!E:E)</f>
        <v>1</v>
      </c>
      <c r="P43">
        <f>SUMIF(AT!B:B,$N43,AT!F:F)</f>
        <v>1</v>
      </c>
      <c r="Q43">
        <f>SUMIF(AT!B:B,$N43,AT!G:G)</f>
        <v>0</v>
      </c>
      <c r="R43">
        <f>SUMIF(AT!B:B,$N43,AT!I:I)</f>
        <v>0</v>
      </c>
      <c r="S43">
        <f>COUNTIF($B:$B,$N43)</f>
        <v>1</v>
      </c>
    </row>
    <row r="44" spans="1:19" x14ac:dyDescent="0.2">
      <c r="A44" s="4" t="s">
        <v>0</v>
      </c>
      <c r="B4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4" s="3" t="str">
        <f>HYPERLINK("https://otsuka-europe-crm.veevavault.com/ui/#object/sent_email__v/VBL000000007498", "SE-001381991")</f>
        <v>SE-001381991</v>
      </c>
      <c r="D44" s="1">
        <v>45971.316469907404</v>
      </c>
      <c r="E44" s="2">
        <v>1</v>
      </c>
      <c r="F44" s="2">
        <v>1</v>
      </c>
      <c r="G44" s="2">
        <v>1</v>
      </c>
      <c r="H44" s="1">
        <v>45971.316469907404</v>
      </c>
      <c r="I44" s="2">
        <v>1</v>
      </c>
      <c r="J44" s="1">
        <v>45968.517997685187</v>
      </c>
      <c r="N44" t="str">
        <v>VAE AT E-REP - Symposiumsbericht EULAR 2024 (Nephrologie)</v>
      </c>
      <c r="O44">
        <f>SUMIF(AT!B:B,$N44,AT!E:E)</f>
        <v>0</v>
      </c>
      <c r="P44">
        <f>SUMIF(AT!B:B,$N44,AT!F:F)</f>
        <v>0</v>
      </c>
      <c r="Q44">
        <f>SUMIF(AT!B:B,$N44,AT!G:G)</f>
        <v>0</v>
      </c>
      <c r="R44">
        <f>SUMIF(AT!B:B,$N44,AT!I:I)</f>
        <v>0</v>
      </c>
      <c r="S44">
        <f>COUNTIF($B:$B,$N44)</f>
        <v>1</v>
      </c>
    </row>
    <row r="45" spans="1:19" x14ac:dyDescent="0.2">
      <c r="A45" s="4" t="s">
        <v>0</v>
      </c>
      <c r="B4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5" s="3" t="str">
        <f>HYPERLINK("https://otsuka-europe-crm.veevavault.com/ui/#object/sent_email__v/VBL00000000D326", "SE-001384095")</f>
        <v>SE-001384095</v>
      </c>
      <c r="D45" s="1" t="s">
        <v>1</v>
      </c>
      <c r="E45" s="2">
        <v>0</v>
      </c>
      <c r="F45" s="2">
        <v>0</v>
      </c>
      <c r="G45" s="2">
        <v>0</v>
      </c>
      <c r="H45" s="1" t="s">
        <v>1</v>
      </c>
      <c r="I45" s="2">
        <v>0</v>
      </c>
      <c r="J45" s="1">
        <v>45971.428310185183</v>
      </c>
      <c r="N45" t="str">
        <v>VAE AT E-REP - Symposiumsbericht EULAR 2024 (Rheumatologie)</v>
      </c>
      <c r="O45">
        <f>SUMIF(AT!B:B,$N45,AT!E:E)</f>
        <v>0</v>
      </c>
      <c r="P45">
        <f>SUMIF(AT!B:B,$N45,AT!F:F)</f>
        <v>0</v>
      </c>
      <c r="Q45">
        <f>SUMIF(AT!B:B,$N45,AT!G:G)</f>
        <v>0</v>
      </c>
      <c r="R45">
        <f>SUMIF(AT!B:B,$N45,AT!I:I)</f>
        <v>0</v>
      </c>
      <c r="S45">
        <f>COUNTIF($B:$B,$N45)</f>
        <v>1</v>
      </c>
    </row>
    <row r="46" spans="1:19" x14ac:dyDescent="0.2">
      <c r="A46" s="4" t="s">
        <v>0</v>
      </c>
      <c r="B4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6" s="3" t="str">
        <f>HYPERLINK("https://otsuka-europe-crm.veevavault.com/ui/#object/sent_email__v/VBL00000000L483", "SE-001389119")</f>
        <v>SE-001389119</v>
      </c>
      <c r="D46" s="1" t="s">
        <v>1</v>
      </c>
      <c r="E46" s="2">
        <v>0</v>
      </c>
      <c r="F46" s="2">
        <v>0</v>
      </c>
      <c r="G46" s="2">
        <v>0</v>
      </c>
      <c r="H46" s="1" t="s">
        <v>1</v>
      </c>
      <c r="I46" s="2">
        <v>0</v>
      </c>
      <c r="J46" s="1">
        <v>45972.465069444443</v>
      </c>
      <c r="N46" t="str">
        <v>VAE AT E-REP - Symposiumsbericht ÖGN Wintermeeting 2025 (Nephrologie)</v>
      </c>
      <c r="O46">
        <f>SUMIF(AT!B:B,$N46,AT!E:E)</f>
        <v>1</v>
      </c>
      <c r="P46">
        <f>SUMIF(AT!B:B,$N46,AT!F:F)</f>
        <v>2</v>
      </c>
      <c r="Q46">
        <f>SUMIF(AT!B:B,$N46,AT!G:G)</f>
        <v>0</v>
      </c>
      <c r="R46">
        <f>SUMIF(AT!B:B,$N46,AT!I:I)</f>
        <v>0</v>
      </c>
      <c r="S46">
        <f>COUNTIF($B:$B,$N46)</f>
        <v>10</v>
      </c>
    </row>
    <row r="47" spans="1:19" x14ac:dyDescent="0.2">
      <c r="A47" s="4" t="s">
        <v>0</v>
      </c>
      <c r="B4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7" s="3" t="str">
        <f>HYPERLINK("https://otsuka-europe-crm.veevavault.com/ui/#object/sent_email__v/VBL00000000J752", "SE-001389150")</f>
        <v>SE-001389150</v>
      </c>
      <c r="D47" s="1" t="s">
        <v>1</v>
      </c>
      <c r="E47" s="2">
        <v>0</v>
      </c>
      <c r="F47" s="2">
        <v>0</v>
      </c>
      <c r="G47" s="2">
        <v>0</v>
      </c>
      <c r="H47" s="1" t="s">
        <v>1</v>
      </c>
      <c r="I47" s="2">
        <v>0</v>
      </c>
      <c r="J47" s="1">
        <v>45972.541562500002</v>
      </c>
      <c r="N47" t="str">
        <v>VAE AT E-REP - Symposiumsbericht ÖGN Wintermeeting 2025 (Rheumatologie)</v>
      </c>
      <c r="O47">
        <f>SUMIF(AT!B:B,$N47,AT!E:E)</f>
        <v>0</v>
      </c>
      <c r="P47">
        <f>SUMIF(AT!B:B,$N47,AT!F:F)</f>
        <v>0</v>
      </c>
      <c r="Q47">
        <f>SUMIF(AT!B:B,$N47,AT!G:G)</f>
        <v>0</v>
      </c>
      <c r="R47">
        <f>SUMIF(AT!B:B,$N47,AT!I:I)</f>
        <v>0</v>
      </c>
      <c r="S47">
        <f>COUNTIF($B:$B,$N47)</f>
        <v>27</v>
      </c>
    </row>
    <row r="48" spans="1:19" x14ac:dyDescent="0.2">
      <c r="A48" s="4" t="s">
        <v>0</v>
      </c>
      <c r="B4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8" s="3" t="str">
        <f>HYPERLINK("https://otsuka-europe-crm.veevavault.com/ui/#object/sent_email__v/VBL00000000L507", "SE-001389156")</f>
        <v>SE-001389156</v>
      </c>
      <c r="D48" s="1">
        <v>45972.5544212963</v>
      </c>
      <c r="E48" s="2">
        <v>1</v>
      </c>
      <c r="F48" s="2">
        <v>1</v>
      </c>
      <c r="G48" s="2">
        <v>1</v>
      </c>
      <c r="H48" s="1">
        <v>45972.5547337963</v>
      </c>
      <c r="I48" s="2">
        <v>1</v>
      </c>
      <c r="J48" s="1">
        <v>45972.554340277777</v>
      </c>
      <c r="N48" t="str">
        <v>VAE AT Inaqovi EREP - Einladung Summed Up 30.09.25</v>
      </c>
      <c r="O48">
        <f>SUMIF(AT!B:B,$N48,AT!E:E)</f>
        <v>0</v>
      </c>
      <c r="P48">
        <f>SUMIF(AT!B:B,$N48,AT!F:F)</f>
        <v>0</v>
      </c>
      <c r="Q48">
        <f>SUMIF(AT!B:B,$N48,AT!G:G)</f>
        <v>0</v>
      </c>
      <c r="R48">
        <f>SUMIF(AT!B:B,$N48,AT!I:I)</f>
        <v>0</v>
      </c>
      <c r="S48">
        <f>COUNTIF($B:$B,$N48)</f>
        <v>4</v>
      </c>
    </row>
    <row r="49" spans="1:19" x14ac:dyDescent="0.2">
      <c r="A49" s="4" t="s">
        <v>0</v>
      </c>
      <c r="B4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49" s="3" t="str">
        <f>HYPERLINK("https://otsuka-europe-crm.veevavault.com/ui/#object/sent_email__v/VBL00000000M468", "SE-001389471")</f>
        <v>SE-001389471</v>
      </c>
      <c r="D49" s="1" t="s">
        <v>1</v>
      </c>
      <c r="E49" s="2">
        <v>0</v>
      </c>
      <c r="F49" s="2">
        <v>0</v>
      </c>
      <c r="G49" s="2">
        <v>0</v>
      </c>
      <c r="H49" s="1" t="s">
        <v>1</v>
      </c>
      <c r="I49" s="2">
        <v>0</v>
      </c>
      <c r="J49" s="1">
        <v>45973.319745370369</v>
      </c>
      <c r="N49" t="str">
        <v>VAE AT Inaqovi GRIMALDI - Einladung Summed Up 30.09.25</v>
      </c>
      <c r="O49">
        <f>SUMIF(AT!B:B,$N49,AT!E:E)</f>
        <v>7</v>
      </c>
      <c r="P49">
        <f>SUMIF(AT!B:B,$N49,AT!F:F)</f>
        <v>14</v>
      </c>
      <c r="Q49">
        <f>SUMIF(AT!B:B,$N49,AT!G:G)</f>
        <v>0</v>
      </c>
      <c r="R49">
        <f>SUMIF(AT!B:B,$N49,AT!I:I)</f>
        <v>0</v>
      </c>
      <c r="S49">
        <f>COUNTIF($B:$B,$N49)</f>
        <v>37</v>
      </c>
    </row>
    <row r="50" spans="1:19" x14ac:dyDescent="0.2">
      <c r="A50" s="4" t="s">
        <v>0</v>
      </c>
      <c r="B5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0" s="3" t="str">
        <f>HYPERLINK("https://otsuka-europe-crm.veevavault.com/ui/#object/sent_email__v/VBL00000000M469", "SE-001389472")</f>
        <v>SE-001389472</v>
      </c>
      <c r="D50" s="1" t="s">
        <v>1</v>
      </c>
      <c r="E50" s="2">
        <v>0</v>
      </c>
      <c r="F50" s="2">
        <v>0</v>
      </c>
      <c r="G50" s="2">
        <v>0</v>
      </c>
      <c r="H50" s="1" t="s">
        <v>1</v>
      </c>
      <c r="I50" s="2">
        <v>0</v>
      </c>
      <c r="J50" s="1">
        <v>45973.320740740739</v>
      </c>
      <c r="N50">
        <v>0</v>
      </c>
    </row>
    <row r="51" spans="1:19" x14ac:dyDescent="0.2">
      <c r="A51" s="4" t="s">
        <v>0</v>
      </c>
      <c r="B5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1" s="3" t="str">
        <f>HYPERLINK("https://otsuka-europe-crm.veevavault.com/ui/#object/sent_email__v/VBL00000000J944", "SE-001389484")</f>
        <v>SE-001389484</v>
      </c>
      <c r="D51" s="1" t="s">
        <v>1</v>
      </c>
      <c r="E51" s="2">
        <v>0</v>
      </c>
      <c r="F51" s="2">
        <v>0</v>
      </c>
      <c r="G51" s="2">
        <v>0</v>
      </c>
      <c r="H51" s="1" t="s">
        <v>1</v>
      </c>
      <c r="I51" s="2">
        <v>0</v>
      </c>
      <c r="J51" s="1">
        <v>45973.356400462966</v>
      </c>
    </row>
    <row r="52" spans="1:19" x14ac:dyDescent="0.2">
      <c r="A52" s="4" t="s">
        <v>0</v>
      </c>
      <c r="B5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2" s="3" t="str">
        <f>HYPERLINK("https://otsuka-europe-crm.veevavault.com/ui/#object/sent_email__v/VBL00000000J967", "SE-001389509")</f>
        <v>SE-001389509</v>
      </c>
      <c r="D52" s="1">
        <v>45973.912118055552</v>
      </c>
      <c r="E52" s="2">
        <v>1</v>
      </c>
      <c r="F52" s="2">
        <v>1</v>
      </c>
      <c r="G52" s="2">
        <v>1</v>
      </c>
      <c r="H52" s="1">
        <v>45974.279537037037</v>
      </c>
      <c r="I52" s="2">
        <v>1</v>
      </c>
      <c r="J52" s="1">
        <v>45973.498402777775</v>
      </c>
    </row>
    <row r="53" spans="1:19" x14ac:dyDescent="0.2">
      <c r="A53" s="4" t="s">
        <v>0</v>
      </c>
      <c r="B5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3" s="3" t="str">
        <f>HYPERLINK("https://otsuka-europe-crm.veevavault.com/ui/#object/sent_email__v/VBL00000000M660", "SE-001389721")</f>
        <v>SE-001389721</v>
      </c>
      <c r="D53" s="1">
        <v>45973.606909722221</v>
      </c>
      <c r="E53" s="2">
        <v>1</v>
      </c>
      <c r="F53" s="2">
        <v>1</v>
      </c>
      <c r="G53" s="2">
        <v>1</v>
      </c>
      <c r="H53" s="1">
        <v>45973.607071759259</v>
      </c>
      <c r="I53" s="2">
        <v>1</v>
      </c>
      <c r="J53" s="1">
        <v>45973.602222222224</v>
      </c>
    </row>
    <row r="54" spans="1:19" x14ac:dyDescent="0.2">
      <c r="A54" s="4" t="s">
        <v>0</v>
      </c>
      <c r="B5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4" s="3" t="str">
        <f>HYPERLINK("https://otsuka-europe-crm.veevavault.com/ui/#object/sent_email__v/VBL00000000M662", "SE-001389723")</f>
        <v>SE-001389723</v>
      </c>
      <c r="D54" s="1" t="s">
        <v>1</v>
      </c>
      <c r="E54" s="2">
        <v>0</v>
      </c>
      <c r="F54" s="2">
        <v>0</v>
      </c>
      <c r="G54" s="2">
        <v>0</v>
      </c>
      <c r="H54" s="1" t="s">
        <v>1</v>
      </c>
      <c r="I54" s="2">
        <v>0</v>
      </c>
      <c r="J54" s="1">
        <v>45973.605949074074</v>
      </c>
    </row>
    <row r="55" spans="1:19" x14ac:dyDescent="0.2">
      <c r="A55" s="4" t="s">
        <v>0</v>
      </c>
      <c r="B5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5" s="3" t="str">
        <f>HYPERLINK("https://otsuka-europe-crm.veevavault.com/ui/#object/sent_email__v/VBL00000000M882", "SE-001390089")</f>
        <v>SE-001390089</v>
      </c>
      <c r="D55" s="1">
        <v>45996.574374999997</v>
      </c>
      <c r="E55" s="2">
        <v>1</v>
      </c>
      <c r="F55" s="2">
        <v>7</v>
      </c>
      <c r="G55" s="2">
        <v>0</v>
      </c>
      <c r="H55" s="1" t="s">
        <v>1</v>
      </c>
      <c r="I55" s="2">
        <v>0</v>
      </c>
      <c r="J55" s="1">
        <v>45974.461423611108</v>
      </c>
    </row>
    <row r="56" spans="1:19" x14ac:dyDescent="0.2">
      <c r="A56" s="4" t="s">
        <v>0</v>
      </c>
      <c r="B5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6" s="3" t="str">
        <f>HYPERLINK("https://otsuka-europe-crm.veevavault.com/ui/#object/sent_email__v/VBL00000000M885", "SE-001390095")</f>
        <v>SE-001390095</v>
      </c>
      <c r="D56" s="1" t="s">
        <v>1</v>
      </c>
      <c r="E56" s="2">
        <v>0</v>
      </c>
      <c r="F56" s="2">
        <v>0</v>
      </c>
      <c r="G56" s="2">
        <v>0</v>
      </c>
      <c r="H56" s="1" t="s">
        <v>1</v>
      </c>
      <c r="I56" s="2">
        <v>0</v>
      </c>
      <c r="J56" s="1">
        <v>45974.473726851851</v>
      </c>
    </row>
    <row r="57" spans="1:19" x14ac:dyDescent="0.2">
      <c r="A57" s="4" t="s">
        <v>0</v>
      </c>
      <c r="B5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7" s="3" t="str">
        <f>HYPERLINK("https://otsuka-europe-crm.veevavault.com/ui/#object/sent_email__v/VBL00000000M886", "SE-001390096")</f>
        <v>SE-001390096</v>
      </c>
      <c r="D57" s="1">
        <v>45974.547164351854</v>
      </c>
      <c r="E57" s="2">
        <v>1</v>
      </c>
      <c r="F57" s="2">
        <v>1</v>
      </c>
      <c r="G57" s="2">
        <v>1</v>
      </c>
      <c r="H57" s="1">
        <v>45974.547210648147</v>
      </c>
      <c r="I57" s="2">
        <v>1</v>
      </c>
      <c r="J57" s="1">
        <v>45974.476770833331</v>
      </c>
    </row>
    <row r="58" spans="1:19" x14ac:dyDescent="0.2">
      <c r="A58" s="4" t="s">
        <v>0</v>
      </c>
      <c r="B5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8" s="3" t="str">
        <f>HYPERLINK("https://otsuka-europe-crm.veevavault.com/ui/#object/sent_email__v/VBL00000000M939", "SE-001390237")</f>
        <v>SE-001390237</v>
      </c>
      <c r="D58" s="1" t="s">
        <v>1</v>
      </c>
      <c r="E58" s="2">
        <v>0</v>
      </c>
      <c r="F58" s="2">
        <v>0</v>
      </c>
      <c r="G58" s="2">
        <v>0</v>
      </c>
      <c r="H58" s="1" t="s">
        <v>1</v>
      </c>
      <c r="I58" s="2">
        <v>0</v>
      </c>
      <c r="J58" s="1">
        <v>45975.313819444447</v>
      </c>
    </row>
    <row r="59" spans="1:19" x14ac:dyDescent="0.2">
      <c r="A59" s="4" t="s">
        <v>0</v>
      </c>
      <c r="B5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59" s="3" t="str">
        <f>HYPERLINK("https://otsuka-europe-crm.veevavault.com/ui/#object/sent_email__v/VBL00000000O106", "SE-001390435")</f>
        <v>SE-001390435</v>
      </c>
      <c r="D59" s="1">
        <v>45978.827534722222</v>
      </c>
      <c r="E59" s="2">
        <v>1</v>
      </c>
      <c r="F59" s="2">
        <v>4</v>
      </c>
      <c r="G59" s="2">
        <v>0</v>
      </c>
      <c r="H59" s="1" t="s">
        <v>1</v>
      </c>
      <c r="I59" s="2">
        <v>0</v>
      </c>
      <c r="J59" s="1">
        <v>45978.323807870373</v>
      </c>
    </row>
    <row r="60" spans="1:19" x14ac:dyDescent="0.2">
      <c r="A60" s="4" t="s">
        <v>0</v>
      </c>
      <c r="B6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0" s="3" t="str">
        <f>HYPERLINK("https://otsuka-europe-crm.veevavault.com/ui/#object/sent_email__v/VBL00000000O134", "SE-001390489")</f>
        <v>SE-001390489</v>
      </c>
      <c r="D60" s="1" t="s">
        <v>1</v>
      </c>
      <c r="E60" s="2">
        <v>0</v>
      </c>
      <c r="F60" s="2">
        <v>0</v>
      </c>
      <c r="G60" s="2">
        <v>0</v>
      </c>
      <c r="H60" s="1" t="s">
        <v>1</v>
      </c>
      <c r="I60" s="2">
        <v>0</v>
      </c>
      <c r="J60" s="1">
        <v>45978.364305555559</v>
      </c>
    </row>
    <row r="61" spans="1:19" x14ac:dyDescent="0.2">
      <c r="A61" s="4" t="s">
        <v>0</v>
      </c>
      <c r="B6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1" s="3" t="str">
        <f>HYPERLINK("https://otsuka-europe-crm.veevavault.com/ui/#object/sent_email__v/VBL00000000O252", "SE-001390732")</f>
        <v>SE-001390732</v>
      </c>
      <c r="D61" s="1" t="s">
        <v>1</v>
      </c>
      <c r="E61" s="2">
        <v>0</v>
      </c>
      <c r="F61" s="2">
        <v>0</v>
      </c>
      <c r="G61" s="2">
        <v>0</v>
      </c>
      <c r="H61" s="1" t="s">
        <v>1</v>
      </c>
      <c r="I61" s="2">
        <v>0</v>
      </c>
      <c r="J61" s="1">
        <v>45978.444594907407</v>
      </c>
    </row>
    <row r="62" spans="1:19" x14ac:dyDescent="0.2">
      <c r="A62" s="4" t="s">
        <v>0</v>
      </c>
      <c r="B6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2" s="3" t="str">
        <f>HYPERLINK("https://otsuka-europe-crm.veevavault.com/ui/#object/sent_email__v/VBL00000000O292", "SE-001390801")</f>
        <v>SE-001390801</v>
      </c>
      <c r="D62" s="1">
        <v>45995.411076388889</v>
      </c>
      <c r="E62" s="2">
        <v>1</v>
      </c>
      <c r="F62" s="2">
        <v>3</v>
      </c>
      <c r="G62" s="2">
        <v>0</v>
      </c>
      <c r="H62" s="1" t="s">
        <v>1</v>
      </c>
      <c r="I62" s="2">
        <v>0</v>
      </c>
      <c r="J62" s="1">
        <v>45979.358124999999</v>
      </c>
    </row>
    <row r="63" spans="1:19" x14ac:dyDescent="0.2">
      <c r="A63" s="4" t="s">
        <v>0</v>
      </c>
      <c r="B6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3" s="3" t="str">
        <f>HYPERLINK("https://otsuka-europe-crm.veevavault.com/ui/#object/sent_email__v/VBL00000000P113", "SE-001391401")</f>
        <v>SE-001391401</v>
      </c>
      <c r="D63" s="1">
        <v>45981.454872685186</v>
      </c>
      <c r="E63" s="2">
        <v>1</v>
      </c>
      <c r="F63" s="2">
        <v>3</v>
      </c>
      <c r="G63" s="2">
        <v>1</v>
      </c>
      <c r="H63" s="1">
        <v>45981.448657407411</v>
      </c>
      <c r="I63" s="2">
        <v>3</v>
      </c>
      <c r="J63" s="1">
        <v>45981.447268518517</v>
      </c>
    </row>
    <row r="64" spans="1:19" x14ac:dyDescent="0.2">
      <c r="A64" s="4" t="s">
        <v>0</v>
      </c>
      <c r="B6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4" s="3" t="str">
        <f>HYPERLINK("https://otsuka-europe-crm.veevavault.com/ui/#object/sent_email__v/VBL00000000P160", "SE-001391481")</f>
        <v>SE-001391481</v>
      </c>
      <c r="D64" s="1">
        <v>45982.673032407409</v>
      </c>
      <c r="E64" s="2">
        <v>1</v>
      </c>
      <c r="F64" s="2">
        <v>1</v>
      </c>
      <c r="G64" s="2">
        <v>0</v>
      </c>
      <c r="H64" s="1" t="s">
        <v>1</v>
      </c>
      <c r="I64" s="2">
        <v>0</v>
      </c>
      <c r="J64" s="1">
        <v>45982.359953703701</v>
      </c>
    </row>
    <row r="65" spans="1:10" x14ac:dyDescent="0.2">
      <c r="A65" s="4" t="s">
        <v>0</v>
      </c>
      <c r="B6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5" s="3" t="str">
        <f>HYPERLINK("https://otsuka-europe-crm.veevavault.com/ui/#object/sent_email__v/VBL00000000Q265", "SE-001391487")</f>
        <v>SE-001391487</v>
      </c>
      <c r="D65" s="1">
        <v>45982.446180555555</v>
      </c>
      <c r="E65" s="2">
        <v>1</v>
      </c>
      <c r="F65" s="2">
        <v>1</v>
      </c>
      <c r="G65" s="2">
        <v>1</v>
      </c>
      <c r="H65" s="1">
        <v>45982.446180555555</v>
      </c>
      <c r="I65" s="2">
        <v>1</v>
      </c>
      <c r="J65" s="1">
        <v>45982.435914351852</v>
      </c>
    </row>
    <row r="66" spans="1:10" x14ac:dyDescent="0.2">
      <c r="A66" s="4" t="s">
        <v>0</v>
      </c>
      <c r="B6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6" s="3" t="str">
        <f>HYPERLINK("https://otsuka-europe-crm.veevavault.com/ui/#object/sent_email__v/VBL00000000Q266", "SE-001391488")</f>
        <v>SE-001391488</v>
      </c>
      <c r="D66" s="1">
        <v>45994.798703703702</v>
      </c>
      <c r="E66" s="2">
        <v>1</v>
      </c>
      <c r="F66" s="2">
        <v>3</v>
      </c>
      <c r="G66" s="2">
        <v>0</v>
      </c>
      <c r="H66" s="1" t="s">
        <v>1</v>
      </c>
      <c r="I66" s="2">
        <v>0</v>
      </c>
      <c r="J66" s="1">
        <v>45982.440092592595</v>
      </c>
    </row>
    <row r="67" spans="1:10" x14ac:dyDescent="0.2">
      <c r="A67" s="4" t="s">
        <v>0</v>
      </c>
      <c r="B6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7" s="3" t="str">
        <f>HYPERLINK("https://otsuka-europe-crm.veevavault.com/ui/#object/sent_email__v/VBL00000000P164", "SE-001391489")</f>
        <v>SE-001391489</v>
      </c>
      <c r="D67" s="1" t="s">
        <v>1</v>
      </c>
      <c r="E67" s="2">
        <v>0</v>
      </c>
      <c r="F67" s="2">
        <v>0</v>
      </c>
      <c r="G67" s="2">
        <v>0</v>
      </c>
      <c r="H67" s="1" t="s">
        <v>1</v>
      </c>
      <c r="I67" s="2">
        <v>0</v>
      </c>
      <c r="J67" s="1">
        <v>45982.442465277774</v>
      </c>
    </row>
    <row r="68" spans="1:10" x14ac:dyDescent="0.2">
      <c r="A68" s="4" t="s">
        <v>0</v>
      </c>
      <c r="B6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8" s="3" t="str">
        <f>HYPERLINK("https://otsuka-europe-crm.veevavault.com/ui/#object/sent_email__v/VBL00000000U374", "SE-001394794")</f>
        <v>SE-001394794</v>
      </c>
      <c r="D68" s="1">
        <v>45994.876458333332</v>
      </c>
      <c r="E68" s="2">
        <v>1</v>
      </c>
      <c r="F68" s="2">
        <v>1</v>
      </c>
      <c r="G68" s="2">
        <v>0</v>
      </c>
      <c r="H68" s="1" t="s">
        <v>1</v>
      </c>
      <c r="I68" s="2">
        <v>0</v>
      </c>
      <c r="J68" s="1">
        <v>45994.305393518516</v>
      </c>
    </row>
    <row r="69" spans="1:10" x14ac:dyDescent="0.2">
      <c r="A69" s="4" t="s">
        <v>0</v>
      </c>
      <c r="B6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69" s="3" t="str">
        <f>HYPERLINK("https://otsuka-europe-crm.veevavault.com/ui/#object/sent_email__v/VBL00000000V054", "SE-001394803")</f>
        <v>SE-001394803</v>
      </c>
      <c r="D69" s="1" t="s">
        <v>1</v>
      </c>
      <c r="E69" s="2">
        <v>0</v>
      </c>
      <c r="F69" s="2">
        <v>0</v>
      </c>
      <c r="G69" s="2">
        <v>0</v>
      </c>
      <c r="H69" s="1" t="s">
        <v>1</v>
      </c>
      <c r="I69" s="2">
        <v>0</v>
      </c>
      <c r="J69" s="1">
        <v>45994.396273148152</v>
      </c>
    </row>
    <row r="70" spans="1:10" x14ac:dyDescent="0.2">
      <c r="A70" s="4" t="s">
        <v>0</v>
      </c>
      <c r="B7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0" s="3" t="str">
        <f>HYPERLINK("https://otsuka-europe-crm.veevavault.com/ui/#object/sent_email__v/VBL00000000U495", "SE-001395022")</f>
        <v>SE-001395022</v>
      </c>
      <c r="D70" s="1">
        <v>46001.669918981483</v>
      </c>
      <c r="E70" s="2">
        <v>1</v>
      </c>
      <c r="F70" s="2">
        <v>2</v>
      </c>
      <c r="G70" s="2">
        <v>0</v>
      </c>
      <c r="H70" s="1" t="s">
        <v>1</v>
      </c>
      <c r="I70" s="2">
        <v>0</v>
      </c>
      <c r="J70" s="1">
        <v>45995.311400462961</v>
      </c>
    </row>
    <row r="71" spans="1:10" x14ac:dyDescent="0.2">
      <c r="A71" s="4" t="s">
        <v>0</v>
      </c>
      <c r="B71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1" s="3" t="str">
        <f>HYPERLINK("https://otsuka-europe-crm.veevavault.com/ui/#object/sent_email__v/VBL00000000V183", "SE-001395065")</f>
        <v>SE-001395065</v>
      </c>
      <c r="D71" s="1">
        <v>46001.319120370368</v>
      </c>
      <c r="E71" s="2">
        <v>1</v>
      </c>
      <c r="F71" s="2">
        <v>3</v>
      </c>
      <c r="G71" s="2">
        <v>0</v>
      </c>
      <c r="H71" s="1" t="s">
        <v>1</v>
      </c>
      <c r="I71" s="2">
        <v>0</v>
      </c>
      <c r="J71" s="1">
        <v>45995.400185185186</v>
      </c>
    </row>
    <row r="72" spans="1:10" x14ac:dyDescent="0.2">
      <c r="A72" s="4" t="s">
        <v>0</v>
      </c>
      <c r="B72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2" s="3" t="str">
        <f>HYPERLINK("https://otsuka-europe-crm.veevavault.com/ui/#object/sent_email__v/VBL00000000U515", "SE-001395066")</f>
        <v>SE-001395066</v>
      </c>
      <c r="D72" s="1">
        <v>46031.671840277777</v>
      </c>
      <c r="E72" s="2">
        <v>1</v>
      </c>
      <c r="F72" s="2">
        <v>4</v>
      </c>
      <c r="G72" s="2">
        <v>1</v>
      </c>
      <c r="H72" s="1">
        <v>45995.814027777778</v>
      </c>
      <c r="I72" s="2">
        <v>1</v>
      </c>
      <c r="J72" s="1">
        <v>45995.410138888888</v>
      </c>
    </row>
    <row r="73" spans="1:10" x14ac:dyDescent="0.2">
      <c r="A73" s="4" t="s">
        <v>0</v>
      </c>
      <c r="B73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3" s="3" t="str">
        <f>HYPERLINK("https://otsuka-europe-crm.veevavault.com/ui/#object/sent_email__v/VBL00000000X002", "SE-001395476")</f>
        <v>SE-001395476</v>
      </c>
      <c r="D73" s="1">
        <v>46036.435740740744</v>
      </c>
      <c r="E73" s="2">
        <v>1</v>
      </c>
      <c r="F73" s="2">
        <v>2</v>
      </c>
      <c r="G73" s="2">
        <v>0</v>
      </c>
      <c r="H73" s="1" t="s">
        <v>1</v>
      </c>
      <c r="I73" s="2">
        <v>0</v>
      </c>
      <c r="J73" s="1">
        <v>45996.329189814816</v>
      </c>
    </row>
    <row r="74" spans="1:10" x14ac:dyDescent="0.2">
      <c r="A74" s="4" t="s">
        <v>0</v>
      </c>
      <c r="B74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4" s="3" t="str">
        <f>HYPERLINK("https://otsuka-europe-crm.veevavault.com/ui/#object/sent_email__v/VBL00000000W003", "SE-001395477")</f>
        <v>SE-001395477</v>
      </c>
      <c r="D74" s="1">
        <v>45996.331921296296</v>
      </c>
      <c r="E74" s="2">
        <v>1</v>
      </c>
      <c r="F74" s="2">
        <v>1</v>
      </c>
      <c r="G74" s="2">
        <v>1</v>
      </c>
      <c r="H74" s="1">
        <v>45996.332060185188</v>
      </c>
      <c r="I74" s="2">
        <v>1</v>
      </c>
      <c r="J74" s="1">
        <v>45996.33185185185</v>
      </c>
    </row>
    <row r="75" spans="1:10" x14ac:dyDescent="0.2">
      <c r="A75" s="4" t="s">
        <v>0</v>
      </c>
      <c r="B75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5" s="3" t="str">
        <f>HYPERLINK("https://otsuka-europe-crm.veevavault.com/ui/#object/sent_email__v/VBL00000000X103", "SE-001395578")</f>
        <v>SE-001395578</v>
      </c>
      <c r="D75" s="1" t="s">
        <v>1</v>
      </c>
      <c r="E75" s="2">
        <v>0</v>
      </c>
      <c r="F75" s="2">
        <v>0</v>
      </c>
      <c r="G75" s="2">
        <v>0</v>
      </c>
      <c r="H75" s="1" t="s">
        <v>1</v>
      </c>
      <c r="I75" s="2">
        <v>0</v>
      </c>
      <c r="J75" s="1">
        <v>45996.337071759262</v>
      </c>
    </row>
    <row r="76" spans="1:10" x14ac:dyDescent="0.2">
      <c r="A76" s="4" t="s">
        <v>0</v>
      </c>
      <c r="B76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6" s="3" t="str">
        <f>HYPERLINK("https://otsuka-europe-crm.veevavault.com/ui/#object/sent_email__v/VBL00000000W004", "SE-001395579")</f>
        <v>SE-001395579</v>
      </c>
      <c r="D76" s="1">
        <v>45996.352847222224</v>
      </c>
      <c r="E76" s="2">
        <v>1</v>
      </c>
      <c r="F76" s="2">
        <v>1</v>
      </c>
      <c r="G76" s="2">
        <v>0</v>
      </c>
      <c r="H76" s="1" t="s">
        <v>1</v>
      </c>
      <c r="I76" s="2">
        <v>0</v>
      </c>
      <c r="J76" s="1">
        <v>45996.342083333337</v>
      </c>
    </row>
    <row r="77" spans="1:10" x14ac:dyDescent="0.2">
      <c r="A77" s="4" t="s">
        <v>0</v>
      </c>
      <c r="B77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7" s="3" t="str">
        <f>HYPERLINK("https://otsuka-europe-crm.veevavault.com/ui/#object/sent_email__v/VBL00000000W005", "SE-001395580")</f>
        <v>SE-001395580</v>
      </c>
      <c r="D77" s="1">
        <v>45996.637627314813</v>
      </c>
      <c r="E77" s="2">
        <v>1</v>
      </c>
      <c r="F77" s="2">
        <v>1</v>
      </c>
      <c r="G77" s="2">
        <v>0</v>
      </c>
      <c r="H77" s="1" t="s">
        <v>1</v>
      </c>
      <c r="I77" s="2">
        <v>0</v>
      </c>
      <c r="J77" s="1">
        <v>45996.344814814816</v>
      </c>
    </row>
    <row r="78" spans="1:10" x14ac:dyDescent="0.2">
      <c r="A78" s="4" t="s">
        <v>0</v>
      </c>
      <c r="B78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8" s="3" t="str">
        <f>HYPERLINK("https://otsuka-europe-crm.veevavault.com/ui/#object/sent_email__v/VBL00000000W007", "SE-001395584")</f>
        <v>SE-001395584</v>
      </c>
      <c r="D78" s="1" t="s">
        <v>1</v>
      </c>
      <c r="E78" s="2">
        <v>0</v>
      </c>
      <c r="F78" s="2">
        <v>0</v>
      </c>
      <c r="G78" s="2">
        <v>0</v>
      </c>
      <c r="H78" s="1" t="s">
        <v>1</v>
      </c>
      <c r="I78" s="2">
        <v>0</v>
      </c>
      <c r="J78" s="1">
        <v>45996.384594907409</v>
      </c>
    </row>
    <row r="79" spans="1:10" x14ac:dyDescent="0.2">
      <c r="A79" s="4" t="s">
        <v>0</v>
      </c>
      <c r="B79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79" s="3" t="str">
        <f>HYPERLINK("https://otsuka-europe-crm.veevavault.com/ui/#object/sent_email__v/VBL00000000X111", "SE-001395602")</f>
        <v>SE-001395602</v>
      </c>
      <c r="D79" s="1">
        <v>46001.378587962965</v>
      </c>
      <c r="E79" s="2">
        <v>1</v>
      </c>
      <c r="F79" s="2">
        <v>1</v>
      </c>
      <c r="G79" s="2">
        <v>1</v>
      </c>
      <c r="H79" s="1">
        <v>46001.378912037035</v>
      </c>
      <c r="I79" s="2">
        <v>1</v>
      </c>
      <c r="J79" s="1">
        <v>45996.453668981485</v>
      </c>
    </row>
    <row r="80" spans="1:10" x14ac:dyDescent="0.2">
      <c r="A80" s="4" t="s">
        <v>0</v>
      </c>
      <c r="B80" s="3" t="str">
        <f>HYPERLINK("https://otsuka-europe-crm.veevavault.com/ui/#object/approved_document__v/V5OZ04ASG4FXQXA", "AT - HCP Einwilligung für Otsuka E-Mails Österreich")</f>
        <v>AT - HCP Einwilligung für Otsuka E-Mails Österreich</v>
      </c>
      <c r="C80" s="3" t="str">
        <f>HYPERLINK("https://otsuka-europe-crm.veevavault.com/ui/#object/sent_email__v/VBL00000000W020", "SE-001395603")</f>
        <v>SE-001395603</v>
      </c>
      <c r="D80" s="1">
        <v>46005.819074074076</v>
      </c>
      <c r="E80" s="2">
        <v>1</v>
      </c>
      <c r="F80" s="2">
        <v>2</v>
      </c>
      <c r="G80" s="2">
        <v>0</v>
      </c>
      <c r="H80" s="1" t="s">
        <v>1</v>
      </c>
      <c r="I80" s="2">
        <v>0</v>
      </c>
      <c r="J80" s="1">
        <v>45996.458807870367</v>
      </c>
    </row>
    <row r="81" spans="1:10" x14ac:dyDescent="0.2">
      <c r="A81" s="4" t="s">
        <v>0</v>
      </c>
      <c r="B81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1" s="3" t="str">
        <f>HYPERLINK("https://otsuka-europe-crm.veevavault.com/ui/#object/sent_email__v/VBLZ025E82H7IUU", "SE-000282874")</f>
        <v>SE-000282874</v>
      </c>
      <c r="D81" s="1">
        <v>45932.522673611114</v>
      </c>
      <c r="E81" s="2">
        <v>1</v>
      </c>
      <c r="F81" s="2">
        <v>1</v>
      </c>
      <c r="G81" s="2">
        <v>1</v>
      </c>
      <c r="H81" s="1">
        <v>45932.522673611114</v>
      </c>
      <c r="I81" s="2">
        <v>1</v>
      </c>
      <c r="J81" s="1">
        <v>45932.425520833334</v>
      </c>
    </row>
    <row r="82" spans="1:10" x14ac:dyDescent="0.2">
      <c r="A82" s="4" t="s">
        <v>0</v>
      </c>
      <c r="B82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2" s="3" t="str">
        <f>HYPERLINK("https://otsuka-europe-crm.veevavault.com/ui/#object/sent_email__v/VBLZ025E82H7K8T", "SE-000282878")</f>
        <v>SE-000282878</v>
      </c>
      <c r="D82" s="1">
        <v>45932.665833333333</v>
      </c>
      <c r="E82" s="2">
        <v>1</v>
      </c>
      <c r="F82" s="2">
        <v>1</v>
      </c>
      <c r="G82" s="2">
        <v>0</v>
      </c>
      <c r="H82" s="1" t="s">
        <v>1</v>
      </c>
      <c r="I82" s="2">
        <v>0</v>
      </c>
      <c r="J82" s="1">
        <v>45932.437986111108</v>
      </c>
    </row>
    <row r="83" spans="1:10" x14ac:dyDescent="0.2">
      <c r="A83" s="4" t="s">
        <v>0</v>
      </c>
      <c r="B83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3" s="3" t="str">
        <f>HYPERLINK("https://otsuka-europe-crm.veevavault.com/ui/#object/sent_email__v/VBLZ025E82H8XXP", "SE-000283043")</f>
        <v>SE-000283043</v>
      </c>
      <c r="D83" s="1">
        <v>45933.276192129626</v>
      </c>
      <c r="E83" s="2">
        <v>1</v>
      </c>
      <c r="F83" s="2">
        <v>2</v>
      </c>
      <c r="G83" s="2">
        <v>0</v>
      </c>
      <c r="H83" s="1" t="s">
        <v>1</v>
      </c>
      <c r="I83" s="2">
        <v>0</v>
      </c>
      <c r="J83" s="1">
        <v>45933.262048611112</v>
      </c>
    </row>
    <row r="84" spans="1:10" x14ac:dyDescent="0.2">
      <c r="A84" s="4" t="s">
        <v>0</v>
      </c>
      <c r="B84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4" s="3" t="str">
        <f>HYPERLINK("https://otsuka-europe-crm.veevavault.com/ui/#object/sent_email__v/VBLZ025E82H93VL", "SE-000283105")</f>
        <v>SE-000283105</v>
      </c>
      <c r="D84" s="1" t="s">
        <v>1</v>
      </c>
      <c r="E84" s="2">
        <v>0</v>
      </c>
      <c r="F84" s="2">
        <v>0</v>
      </c>
      <c r="G84" s="2">
        <v>0</v>
      </c>
      <c r="H84" s="1" t="s">
        <v>1</v>
      </c>
      <c r="I84" s="2">
        <v>0</v>
      </c>
      <c r="J84" s="1">
        <v>45933.372199074074</v>
      </c>
    </row>
    <row r="85" spans="1:10" x14ac:dyDescent="0.2">
      <c r="A85" s="4" t="s">
        <v>0</v>
      </c>
      <c r="B85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5" s="3" t="str">
        <f>HYPERLINK("https://otsuka-europe-crm.veevavault.com/ui/#object/sent_email__v/VBLZ025E82HCJ3P", "SE-000283723")</f>
        <v>SE-000283723</v>
      </c>
      <c r="D85" s="1">
        <v>45937.335844907408</v>
      </c>
      <c r="E85" s="2">
        <v>1</v>
      </c>
      <c r="F85" s="2">
        <v>1</v>
      </c>
      <c r="G85" s="2">
        <v>1</v>
      </c>
      <c r="H85" s="1">
        <v>45937.335844907408</v>
      </c>
      <c r="I85" s="2">
        <v>1</v>
      </c>
      <c r="J85" s="1">
        <v>45937.334490740737</v>
      </c>
    </row>
    <row r="86" spans="1:10" x14ac:dyDescent="0.2">
      <c r="A86" s="4" t="s">
        <v>0</v>
      </c>
      <c r="B86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6" s="3" t="str">
        <f>HYPERLINK("https://otsuka-europe-crm.veevavault.com/ui/#object/sent_email__v/VBLZ025E82HCSZB", "SE-000284030")</f>
        <v>SE-000284030</v>
      </c>
      <c r="D86" s="1" t="s">
        <v>1</v>
      </c>
      <c r="E86" s="2">
        <v>0</v>
      </c>
      <c r="F86" s="2">
        <v>0</v>
      </c>
      <c r="G86" s="2">
        <v>0</v>
      </c>
      <c r="H86" s="1" t="s">
        <v>1</v>
      </c>
      <c r="I86" s="2">
        <v>0</v>
      </c>
      <c r="J86" s="1">
        <v>45937.408564814818</v>
      </c>
    </row>
    <row r="87" spans="1:10" x14ac:dyDescent="0.2">
      <c r="A87" s="4" t="s">
        <v>0</v>
      </c>
      <c r="B87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7" s="3" t="str">
        <f>HYPERLINK("https://otsuka-europe-crm.veevavault.com/ui/#object/sent_email__v/VBLZ025E82HCSZC", "SE-000284031")</f>
        <v>SE-000284031</v>
      </c>
      <c r="D87" s="1">
        <v>45937.935960648145</v>
      </c>
      <c r="E87" s="2">
        <v>1</v>
      </c>
      <c r="F87" s="2">
        <v>1</v>
      </c>
      <c r="G87" s="2">
        <v>1</v>
      </c>
      <c r="H87" s="1">
        <v>45937.936342592591</v>
      </c>
      <c r="I87" s="2">
        <v>1</v>
      </c>
      <c r="J87" s="1">
        <v>45937.408576388887</v>
      </c>
    </row>
    <row r="88" spans="1:10" x14ac:dyDescent="0.2">
      <c r="A88" s="4" t="s">
        <v>0</v>
      </c>
      <c r="B88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8" s="3" t="str">
        <f>HYPERLINK("https://otsuka-europe-crm.veevavault.com/ui/#object/sent_email__v/VBLZ025E82HFY92", "SE-000285182")</f>
        <v>SE-000285182</v>
      </c>
      <c r="D88" s="1">
        <v>45939.558831018519</v>
      </c>
      <c r="E88" s="2">
        <v>1</v>
      </c>
      <c r="F88" s="2">
        <v>1</v>
      </c>
      <c r="G88" s="2">
        <v>0</v>
      </c>
      <c r="H88" s="1" t="s">
        <v>1</v>
      </c>
      <c r="I88" s="2">
        <v>0</v>
      </c>
      <c r="J88" s="1">
        <v>45939.449444444443</v>
      </c>
    </row>
    <row r="89" spans="1:10" x14ac:dyDescent="0.2">
      <c r="A89" s="4" t="s">
        <v>0</v>
      </c>
      <c r="B89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89" s="3" t="str">
        <f>HYPERLINK("https://otsuka-europe-crm.veevavault.com/ui/#object/sent_email__v/VBLZ025E82HKC9X", "SE-000287179")</f>
        <v>SE-000287179</v>
      </c>
      <c r="D89" s="1">
        <v>45944.755648148152</v>
      </c>
      <c r="E89" s="2">
        <v>1</v>
      </c>
      <c r="F89" s="2">
        <v>1</v>
      </c>
      <c r="G89" s="2">
        <v>1</v>
      </c>
      <c r="H89" s="1">
        <v>45944.755648148152</v>
      </c>
      <c r="I89" s="2">
        <v>1</v>
      </c>
      <c r="J89" s="1">
        <v>45944.598263888889</v>
      </c>
    </row>
    <row r="90" spans="1:10" x14ac:dyDescent="0.2">
      <c r="A90" s="4" t="s">
        <v>0</v>
      </c>
      <c r="B90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0" s="3" t="str">
        <f>HYPERLINK("https://otsuka-europe-crm.veevavault.com/ui/#object/sent_email__v/VBLZ025E82HLWRA", "SE-000287860")</f>
        <v>SE-000287860</v>
      </c>
      <c r="D90" s="1" t="s">
        <v>1</v>
      </c>
      <c r="E90" s="2">
        <v>0</v>
      </c>
      <c r="F90" s="2">
        <v>0</v>
      </c>
      <c r="G90" s="2">
        <v>0</v>
      </c>
      <c r="H90" s="1" t="s">
        <v>1</v>
      </c>
      <c r="I90" s="2">
        <v>0</v>
      </c>
      <c r="J90" s="1">
        <v>45946.310358796298</v>
      </c>
    </row>
    <row r="91" spans="1:10" x14ac:dyDescent="0.2">
      <c r="A91" s="4" t="s">
        <v>0</v>
      </c>
      <c r="B91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1" s="3" t="str">
        <f>HYPERLINK("https://otsuka-europe-crm.veevavault.com/ui/#object/sent_email__v/VBLZ025E82HMAKI", "SE-000287908")</f>
        <v>SE-000287908</v>
      </c>
      <c r="D91" s="1">
        <v>45946.744004629632</v>
      </c>
      <c r="E91" s="2">
        <v>1</v>
      </c>
      <c r="F91" s="2">
        <v>2</v>
      </c>
      <c r="G91" s="2">
        <v>0</v>
      </c>
      <c r="H91" s="1" t="s">
        <v>1</v>
      </c>
      <c r="I91" s="2">
        <v>0</v>
      </c>
      <c r="J91" s="1">
        <v>45946.469340277778</v>
      </c>
    </row>
    <row r="92" spans="1:10" x14ac:dyDescent="0.2">
      <c r="A92" s="4" t="s">
        <v>0</v>
      </c>
      <c r="B92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2" s="3" t="str">
        <f>HYPERLINK("https://otsuka-europe-crm.veevavault.com/ui/#object/sent_email__v/VBLZ025E82HNSFD", "SE-000288032")</f>
        <v>SE-000288032</v>
      </c>
      <c r="D92" s="1" t="s">
        <v>1</v>
      </c>
      <c r="E92" s="2">
        <v>0</v>
      </c>
      <c r="F92" s="2">
        <v>0</v>
      </c>
      <c r="G92" s="2">
        <v>0</v>
      </c>
      <c r="H92" s="1" t="s">
        <v>1</v>
      </c>
      <c r="I92" s="2">
        <v>0</v>
      </c>
      <c r="J92" s="1">
        <v>45947.590231481481</v>
      </c>
    </row>
    <row r="93" spans="1:10" x14ac:dyDescent="0.2">
      <c r="A93" s="4" t="s">
        <v>0</v>
      </c>
      <c r="B93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3" s="3" t="str">
        <f>HYPERLINK("https://otsuka-europe-crm.veevavault.com/ui/#object/sent_email__v/VBLZ025E82HSG3H", "SE-000290321")</f>
        <v>SE-000290321</v>
      </c>
      <c r="D93" s="1" t="s">
        <v>1</v>
      </c>
      <c r="E93" s="2">
        <v>0</v>
      </c>
      <c r="F93" s="2">
        <v>0</v>
      </c>
      <c r="G93" s="2">
        <v>0</v>
      </c>
      <c r="H93" s="1" t="s">
        <v>1</v>
      </c>
      <c r="I93" s="2">
        <v>0</v>
      </c>
      <c r="J93" s="1">
        <v>45953.49900462963</v>
      </c>
    </row>
    <row r="94" spans="1:10" x14ac:dyDescent="0.2">
      <c r="A94" s="4" t="s">
        <v>0</v>
      </c>
      <c r="B94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4" s="3" t="str">
        <f>HYPERLINK("https://otsuka-europe-crm.veevavault.com/ui/#object/sent_email__v/VBLZ025E82HSO9X", "SE-000290499")</f>
        <v>SE-000290499</v>
      </c>
      <c r="D94" s="1" t="s">
        <v>1</v>
      </c>
      <c r="E94" s="2">
        <v>0</v>
      </c>
      <c r="F94" s="2">
        <v>0</v>
      </c>
      <c r="G94" s="2">
        <v>0</v>
      </c>
      <c r="H94" s="1" t="s">
        <v>1</v>
      </c>
      <c r="I94" s="2">
        <v>0</v>
      </c>
      <c r="J94" s="1">
        <v>45953.598043981481</v>
      </c>
    </row>
    <row r="95" spans="1:10" x14ac:dyDescent="0.2">
      <c r="A95" s="4" t="s">
        <v>0</v>
      </c>
      <c r="B95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5" s="3" t="str">
        <f>HYPERLINK("https://otsuka-europe-crm.veevavault.com/ui/#object/sent_email__v/VBL000000002404", "SE-001379217")</f>
        <v>SE-001379217</v>
      </c>
      <c r="D95" s="1" t="s">
        <v>1</v>
      </c>
      <c r="E95" s="2">
        <v>0</v>
      </c>
      <c r="F95" s="2">
        <v>0</v>
      </c>
      <c r="G95" s="2">
        <v>0</v>
      </c>
      <c r="H95" s="1" t="s">
        <v>1</v>
      </c>
      <c r="I95" s="2">
        <v>0</v>
      </c>
      <c r="J95" s="1">
        <v>45959.264282407406</v>
      </c>
    </row>
    <row r="96" spans="1:10" x14ac:dyDescent="0.2">
      <c r="A96" s="4" t="s">
        <v>0</v>
      </c>
      <c r="B96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6" s="3" t="str">
        <f>HYPERLINK("https://otsuka-europe-crm.veevavault.com/ui/#object/sent_email__v/VBL000000002406", "SE-001379219")</f>
        <v>SE-001379219</v>
      </c>
      <c r="D96" s="1">
        <v>45959.272800925923</v>
      </c>
      <c r="E96" s="2">
        <v>1</v>
      </c>
      <c r="F96" s="2">
        <v>1</v>
      </c>
      <c r="G96" s="2">
        <v>1</v>
      </c>
      <c r="H96" s="1">
        <v>45959.272800925923</v>
      </c>
      <c r="I96" s="2">
        <v>1</v>
      </c>
      <c r="J96" s="1">
        <v>45959.271597222221</v>
      </c>
    </row>
    <row r="97" spans="1:10" x14ac:dyDescent="0.2">
      <c r="A97" s="4" t="s">
        <v>0</v>
      </c>
      <c r="B97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7" s="3" t="str">
        <f>HYPERLINK("https://otsuka-europe-crm.veevavault.com/ui/#object/sent_email__v/VBL000000002408", "SE-001379221")</f>
        <v>SE-001379221</v>
      </c>
      <c r="D97" s="1">
        <v>45959.528275462966</v>
      </c>
      <c r="E97" s="2">
        <v>1</v>
      </c>
      <c r="F97" s="2">
        <v>2</v>
      </c>
      <c r="G97" s="2">
        <v>1</v>
      </c>
      <c r="H97" s="1">
        <v>45959.524756944447</v>
      </c>
      <c r="I97" s="2">
        <v>1</v>
      </c>
      <c r="J97" s="1">
        <v>45959.296736111108</v>
      </c>
    </row>
    <row r="98" spans="1:10" x14ac:dyDescent="0.2">
      <c r="A98" s="4" t="s">
        <v>0</v>
      </c>
      <c r="B98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8" s="3" t="str">
        <f>HYPERLINK("https://otsuka-europe-crm.veevavault.com/ui/#object/sent_email__v/VBL000000003191", "SE-001379223")</f>
        <v>SE-001379223</v>
      </c>
      <c r="D98" s="1" t="s">
        <v>1</v>
      </c>
      <c r="E98" s="2">
        <v>0</v>
      </c>
      <c r="F98" s="2">
        <v>0</v>
      </c>
      <c r="G98" s="2">
        <v>0</v>
      </c>
      <c r="H98" s="1" t="s">
        <v>1</v>
      </c>
      <c r="I98" s="2">
        <v>0</v>
      </c>
      <c r="J98" s="1">
        <v>45959.301493055558</v>
      </c>
    </row>
    <row r="99" spans="1:10" x14ac:dyDescent="0.2">
      <c r="A99" s="4" t="s">
        <v>0</v>
      </c>
      <c r="B99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99" s="3" t="str">
        <f>HYPERLINK("https://otsuka-europe-crm.veevavault.com/ui/#object/sent_email__v/VBL000000002411", "SE-001379227")</f>
        <v>SE-001379227</v>
      </c>
      <c r="D99" s="1" t="s">
        <v>1</v>
      </c>
      <c r="E99" s="2">
        <v>0</v>
      </c>
      <c r="F99" s="2">
        <v>0</v>
      </c>
      <c r="G99" s="2">
        <v>0</v>
      </c>
      <c r="H99" s="1" t="s">
        <v>1</v>
      </c>
      <c r="I99" s="2">
        <v>0</v>
      </c>
      <c r="J99" s="1">
        <v>45959.327696759261</v>
      </c>
    </row>
    <row r="100" spans="1:10" x14ac:dyDescent="0.2">
      <c r="A100" s="4" t="s">
        <v>0</v>
      </c>
      <c r="B100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0" s="3" t="str">
        <f>HYPERLINK("https://otsuka-europe-crm.veevavault.com/ui/#object/sent_email__v/VBL000000003200", "SE-001379251")</f>
        <v>SE-001379251</v>
      </c>
      <c r="D100" s="1">
        <v>45959.471990740742</v>
      </c>
      <c r="E100" s="2">
        <v>1</v>
      </c>
      <c r="F100" s="2">
        <v>4</v>
      </c>
      <c r="G100" s="2">
        <v>1</v>
      </c>
      <c r="H100" s="1">
        <v>45959.463402777779</v>
      </c>
      <c r="I100" s="2">
        <v>1</v>
      </c>
      <c r="J100" s="1">
        <v>45959.46230324074</v>
      </c>
    </row>
    <row r="101" spans="1:10" x14ac:dyDescent="0.2">
      <c r="A101" s="4" t="s">
        <v>0</v>
      </c>
      <c r="B101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1" s="3" t="str">
        <f>HYPERLINK("https://otsuka-europe-crm.veevavault.com/ui/#object/sent_email__v/VBL000000004250", "SE-001380466")</f>
        <v>SE-001380466</v>
      </c>
      <c r="D101" s="1">
        <v>45987.981342592589</v>
      </c>
      <c r="E101" s="2">
        <v>1</v>
      </c>
      <c r="F101" s="2">
        <v>4</v>
      </c>
      <c r="G101" s="2">
        <v>0</v>
      </c>
      <c r="H101" s="1" t="s">
        <v>1</v>
      </c>
      <c r="I101" s="2">
        <v>0</v>
      </c>
      <c r="J101" s="1">
        <v>45964.505162037036</v>
      </c>
    </row>
    <row r="102" spans="1:10" x14ac:dyDescent="0.2">
      <c r="A102" s="4" t="s">
        <v>0</v>
      </c>
      <c r="B102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2" s="3" t="str">
        <f>HYPERLINK("https://otsuka-europe-crm.veevavault.com/ui/#object/sent_email__v/VBL000000004252", "SE-001380468")</f>
        <v>SE-001380468</v>
      </c>
      <c r="D102" s="1" t="s">
        <v>1</v>
      </c>
      <c r="E102" s="2">
        <v>0</v>
      </c>
      <c r="F102" s="2">
        <v>0</v>
      </c>
      <c r="G102" s="2">
        <v>0</v>
      </c>
      <c r="H102" s="1" t="s">
        <v>1</v>
      </c>
      <c r="I102" s="2">
        <v>0</v>
      </c>
      <c r="J102" s="1">
        <v>45964.510682870372</v>
      </c>
    </row>
    <row r="103" spans="1:10" x14ac:dyDescent="0.2">
      <c r="A103" s="4" t="s">
        <v>0</v>
      </c>
      <c r="B103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3" s="3" t="str">
        <f>HYPERLINK("https://otsuka-europe-crm.veevavault.com/ui/#object/sent_email__v/VBL000000004539", "SE-001380880")</f>
        <v>SE-001380880</v>
      </c>
      <c r="D103" s="1">
        <v>45966.414247685185</v>
      </c>
      <c r="E103" s="2">
        <v>1</v>
      </c>
      <c r="F103" s="2">
        <v>1</v>
      </c>
      <c r="G103" s="2">
        <v>1</v>
      </c>
      <c r="H103" s="1">
        <v>45966.4143287037</v>
      </c>
      <c r="I103" s="2">
        <v>2</v>
      </c>
      <c r="J103" s="1">
        <v>45966.412812499999</v>
      </c>
    </row>
    <row r="104" spans="1:10" x14ac:dyDescent="0.2">
      <c r="A104" s="4" t="s">
        <v>0</v>
      </c>
      <c r="B104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4" s="3" t="str">
        <f>HYPERLINK("https://otsuka-europe-crm.veevavault.com/ui/#object/sent_email__v/VBL000000006003", "SE-001380883")</f>
        <v>SE-001380883</v>
      </c>
      <c r="D104" s="1">
        <v>45967.294212962966</v>
      </c>
      <c r="E104" s="2">
        <v>1</v>
      </c>
      <c r="F104" s="2">
        <v>5</v>
      </c>
      <c r="G104" s="2">
        <v>1</v>
      </c>
      <c r="H104" s="1">
        <v>45967.293437499997</v>
      </c>
      <c r="I104" s="2">
        <v>1</v>
      </c>
      <c r="J104" s="1">
        <v>45966.437986111108</v>
      </c>
    </row>
    <row r="105" spans="1:10" x14ac:dyDescent="0.2">
      <c r="A105" s="4" t="s">
        <v>0</v>
      </c>
      <c r="B105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5" s="3" t="str">
        <f>HYPERLINK("https://otsuka-europe-crm.veevavault.com/ui/#object/sent_email__v/VBL00000000M661", "SE-001389722")</f>
        <v>SE-001389722</v>
      </c>
      <c r="D105" s="1" t="s">
        <v>1</v>
      </c>
      <c r="E105" s="2">
        <v>0</v>
      </c>
      <c r="F105" s="2">
        <v>0</v>
      </c>
      <c r="G105" s="2">
        <v>0</v>
      </c>
      <c r="H105" s="1" t="s">
        <v>1</v>
      </c>
      <c r="I105" s="2">
        <v>0</v>
      </c>
      <c r="J105" s="1">
        <v>45973.602268518516</v>
      </c>
    </row>
    <row r="106" spans="1:10" x14ac:dyDescent="0.2">
      <c r="A106" s="4" t="s">
        <v>0</v>
      </c>
      <c r="B106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6" s="3" t="str">
        <f>HYPERLINK("https://otsuka-europe-crm.veevavault.com/ui/#object/sent_email__v/VBL00000000M663", "SE-001389724")</f>
        <v>SE-001389724</v>
      </c>
      <c r="D106" s="1" t="s">
        <v>1</v>
      </c>
      <c r="E106" s="2">
        <v>0</v>
      </c>
      <c r="F106" s="2">
        <v>0</v>
      </c>
      <c r="G106" s="2">
        <v>0</v>
      </c>
      <c r="H106" s="1" t="s">
        <v>1</v>
      </c>
      <c r="I106" s="2">
        <v>0</v>
      </c>
      <c r="J106" s="1">
        <v>45973.605995370373</v>
      </c>
    </row>
    <row r="107" spans="1:10" x14ac:dyDescent="0.2">
      <c r="A107" s="4" t="s">
        <v>0</v>
      </c>
      <c r="B107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7" s="3" t="str">
        <f>HYPERLINK("https://otsuka-europe-crm.veevavault.com/ui/#object/sent_email__v/VBL00000000O293", "SE-001390802")</f>
        <v>SE-001390802</v>
      </c>
      <c r="D107" s="1">
        <v>45995.411087962966</v>
      </c>
      <c r="E107" s="2">
        <v>1</v>
      </c>
      <c r="F107" s="2">
        <v>3</v>
      </c>
      <c r="G107" s="2">
        <v>0</v>
      </c>
      <c r="H107" s="1" t="s">
        <v>1</v>
      </c>
      <c r="I107" s="2">
        <v>0</v>
      </c>
      <c r="J107" s="1">
        <v>45979.358275462961</v>
      </c>
    </row>
    <row r="108" spans="1:10" x14ac:dyDescent="0.2">
      <c r="A108" s="4" t="s">
        <v>0</v>
      </c>
      <c r="B108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8" s="3" t="str">
        <f>HYPERLINK("https://otsuka-europe-crm.veevavault.com/ui/#object/sent_email__v/VBL00000000W300", "SE-001396114")</f>
        <v>SE-001396114</v>
      </c>
      <c r="D108" s="1">
        <v>46001.461354166669</v>
      </c>
      <c r="E108" s="2">
        <v>1</v>
      </c>
      <c r="F108" s="2">
        <v>1</v>
      </c>
      <c r="G108" s="2">
        <v>1</v>
      </c>
      <c r="H108" s="1">
        <v>46001.461446759262</v>
      </c>
      <c r="I108" s="2">
        <v>1</v>
      </c>
      <c r="J108" s="1">
        <v>46001.433263888888</v>
      </c>
    </row>
    <row r="109" spans="1:10" x14ac:dyDescent="0.2">
      <c r="A109" s="4" t="s">
        <v>0</v>
      </c>
      <c r="B109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09" s="3" t="str">
        <f>HYPERLINK("https://otsuka-europe-crm.veevavault.com/ui/#object/sent_email__v/VBL00000000W302", "SE-001396116")</f>
        <v>SE-001396116</v>
      </c>
      <c r="D109" s="1" t="s">
        <v>1</v>
      </c>
      <c r="E109" s="2">
        <v>0</v>
      </c>
      <c r="F109" s="2">
        <v>0</v>
      </c>
      <c r="G109" s="2">
        <v>0</v>
      </c>
      <c r="H109" s="1" t="s">
        <v>1</v>
      </c>
      <c r="I109" s="2">
        <v>0</v>
      </c>
      <c r="J109" s="1">
        <v>46001.434479166666</v>
      </c>
    </row>
    <row r="110" spans="1:10" x14ac:dyDescent="0.2">
      <c r="A110" s="4" t="s">
        <v>0</v>
      </c>
      <c r="B110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0" s="3" t="str">
        <f>HYPERLINK("https://otsuka-europe-crm.veevavault.com/ui/#object/sent_email__v/VBL000000015243", "SE-001400592")</f>
        <v>SE-001400592</v>
      </c>
      <c r="D110" s="1">
        <v>46056.474756944444</v>
      </c>
      <c r="E110" s="2">
        <v>1</v>
      </c>
      <c r="F110" s="2">
        <v>17</v>
      </c>
      <c r="G110" s="2">
        <v>1</v>
      </c>
      <c r="H110" s="1">
        <v>46043.429965277777</v>
      </c>
      <c r="I110" s="2">
        <v>1</v>
      </c>
      <c r="J110" s="1">
        <v>46043.427789351852</v>
      </c>
    </row>
    <row r="111" spans="1:10" x14ac:dyDescent="0.2">
      <c r="A111" s="4" t="s">
        <v>0</v>
      </c>
      <c r="B111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1" s="3" t="str">
        <f>HYPERLINK("https://otsuka-europe-crm.veevavault.com/ui/#object/sent_email__v/VBL000000016454", "SE-001400731")</f>
        <v>SE-001400731</v>
      </c>
      <c r="D111" s="1">
        <v>46043.779178240744</v>
      </c>
      <c r="E111" s="2">
        <v>1</v>
      </c>
      <c r="F111" s="2">
        <v>2</v>
      </c>
      <c r="G111" s="2">
        <v>1</v>
      </c>
      <c r="H111" s="1">
        <v>46043.77884259259</v>
      </c>
      <c r="I111" s="2">
        <v>1</v>
      </c>
      <c r="J111" s="1">
        <v>46043.58898148148</v>
      </c>
    </row>
    <row r="112" spans="1:10" x14ac:dyDescent="0.2">
      <c r="A112" s="4" t="s">
        <v>0</v>
      </c>
      <c r="B112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2" s="3" t="str">
        <f>HYPERLINK("https://otsuka-europe-crm.veevavault.com/ui/#object/sent_email__v/VBL000000016494", "SE-001400774")</f>
        <v>SE-001400774</v>
      </c>
      <c r="D112" s="1">
        <v>46047.608287037037</v>
      </c>
      <c r="E112" s="2">
        <v>1</v>
      </c>
      <c r="F112" s="2">
        <v>1</v>
      </c>
      <c r="G112" s="2">
        <v>1</v>
      </c>
      <c r="H112" s="1">
        <v>46050.355613425927</v>
      </c>
      <c r="I112" s="2">
        <v>1</v>
      </c>
      <c r="J112" s="1">
        <v>46044.4534375</v>
      </c>
    </row>
    <row r="113" spans="1:10" x14ac:dyDescent="0.2">
      <c r="A113" s="4" t="s">
        <v>0</v>
      </c>
      <c r="B113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3" s="3" t="str">
        <f>HYPERLINK("https://otsuka-europe-crm.veevavault.com/ui/#object/sent_email__v/VBL000000016548", "SE-001400855")</f>
        <v>SE-001400855</v>
      </c>
      <c r="D113" s="1" t="s">
        <v>1</v>
      </c>
      <c r="E113" s="2">
        <v>0</v>
      </c>
      <c r="F113" s="2">
        <v>0</v>
      </c>
      <c r="G113" s="2">
        <v>0</v>
      </c>
      <c r="H113" s="1" t="s">
        <v>1</v>
      </c>
      <c r="I113" s="2">
        <v>0</v>
      </c>
      <c r="J113" s="1">
        <v>46045.459189814814</v>
      </c>
    </row>
    <row r="114" spans="1:10" x14ac:dyDescent="0.2">
      <c r="A114" s="4" t="s">
        <v>0</v>
      </c>
      <c r="B114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4" s="3" t="str">
        <f>HYPERLINK("https://otsuka-europe-crm.veevavault.com/ui/#object/sent_email__v/VBL00000001A102", "SE-001402591")</f>
        <v>SE-001402591</v>
      </c>
      <c r="D114" s="1" t="s">
        <v>1</v>
      </c>
      <c r="E114" s="2">
        <v>0</v>
      </c>
      <c r="F114" s="2">
        <v>0</v>
      </c>
      <c r="G114" s="2">
        <v>0</v>
      </c>
      <c r="H114" s="1" t="s">
        <v>1</v>
      </c>
      <c r="I114" s="2">
        <v>0</v>
      </c>
      <c r="J114" s="1">
        <v>46056.479444444441</v>
      </c>
    </row>
    <row r="115" spans="1:10" x14ac:dyDescent="0.2">
      <c r="A115" s="4" t="s">
        <v>0</v>
      </c>
      <c r="B115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5" s="3" t="str">
        <f>HYPERLINK("https://otsuka-europe-crm.veevavault.com/ui/#object/sent_email__v/VBL000000019361", "SE-001402781")</f>
        <v>SE-001402781</v>
      </c>
      <c r="D115" s="1" t="s">
        <v>1</v>
      </c>
      <c r="E115" s="2">
        <v>0</v>
      </c>
      <c r="F115" s="2">
        <v>0</v>
      </c>
      <c r="G115" s="2">
        <v>0</v>
      </c>
      <c r="H115" s="1" t="s">
        <v>1</v>
      </c>
      <c r="I115" s="2">
        <v>0</v>
      </c>
      <c r="J115" s="1">
        <v>46058.564375000002</v>
      </c>
    </row>
    <row r="116" spans="1:10" x14ac:dyDescent="0.2">
      <c r="A116" s="4" t="s">
        <v>0</v>
      </c>
      <c r="B116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6" s="3" t="str">
        <f>HYPERLINK("https://otsuka-europe-crm.veevavault.com/ui/#object/sent_email__v/VBL00000001A199", "SE-001402784")</f>
        <v>SE-001402784</v>
      </c>
      <c r="D116" s="1" t="s">
        <v>1</v>
      </c>
      <c r="E116" s="2">
        <v>0</v>
      </c>
      <c r="F116" s="2">
        <v>0</v>
      </c>
      <c r="G116" s="2">
        <v>0</v>
      </c>
      <c r="H116" s="1" t="s">
        <v>1</v>
      </c>
      <c r="I116" s="2">
        <v>0</v>
      </c>
      <c r="J116" s="1">
        <v>46058.568969907406</v>
      </c>
    </row>
    <row r="117" spans="1:10" x14ac:dyDescent="0.2">
      <c r="A117" s="4" t="s">
        <v>0</v>
      </c>
      <c r="B117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7" s="3" t="str">
        <f>HYPERLINK("https://otsuka-europe-crm.veevavault.com/ui/#object/sent_email__v/VBL00000001B023", "SE-001402969")</f>
        <v>SE-001402969</v>
      </c>
      <c r="D117" s="1" t="s">
        <v>1</v>
      </c>
      <c r="E117" s="2">
        <v>0</v>
      </c>
      <c r="F117" s="2">
        <v>0</v>
      </c>
      <c r="G117" s="2">
        <v>0</v>
      </c>
      <c r="H117" s="1" t="s">
        <v>1</v>
      </c>
      <c r="I117" s="2">
        <v>0</v>
      </c>
      <c r="J117" s="1">
        <v>46059.370358796295</v>
      </c>
    </row>
    <row r="118" spans="1:10" x14ac:dyDescent="0.2">
      <c r="A118" s="4" t="s">
        <v>0</v>
      </c>
      <c r="B118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8" s="3" t="str">
        <f>HYPERLINK("https://otsuka-europe-crm.veevavault.com/ui/#object/sent_email__v/VBL00000001C267", "SE-001403499")</f>
        <v>SE-001403499</v>
      </c>
      <c r="D118" s="1">
        <v>46062.959907407407</v>
      </c>
      <c r="E118" s="2">
        <v>1</v>
      </c>
      <c r="F118" s="2">
        <v>1</v>
      </c>
      <c r="G118" s="2">
        <v>0</v>
      </c>
      <c r="H118" s="1" t="s">
        <v>1</v>
      </c>
      <c r="I118" s="2">
        <v>0</v>
      </c>
      <c r="J118" s="1">
        <v>46062.502974537034</v>
      </c>
    </row>
    <row r="119" spans="1:10" x14ac:dyDescent="0.2">
      <c r="A119" s="4" t="s">
        <v>0</v>
      </c>
      <c r="B119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19" s="3" t="str">
        <f>HYPERLINK("https://otsuka-europe-crm.veevavault.com/ui/#object/sent_email__v/VBL00000001C373", "SE-001403690")</f>
        <v>SE-001403690</v>
      </c>
      <c r="D119" s="1" t="s">
        <v>1</v>
      </c>
      <c r="E119" s="2">
        <v>0</v>
      </c>
      <c r="F119" s="2">
        <v>0</v>
      </c>
      <c r="G119" s="2">
        <v>0</v>
      </c>
      <c r="H119" s="1" t="s">
        <v>1</v>
      </c>
      <c r="I119" s="2">
        <v>0</v>
      </c>
      <c r="J119" s="1">
        <v>46064.378564814811</v>
      </c>
    </row>
    <row r="120" spans="1:10" x14ac:dyDescent="0.2">
      <c r="A120" s="4" t="s">
        <v>0</v>
      </c>
      <c r="B120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0" s="3" t="str">
        <f>HYPERLINK("https://otsuka-europe-crm.veevavault.com/ui/#object/sent_email__v/VBL00000001C473", "SE-001403884")</f>
        <v>SE-001403884</v>
      </c>
      <c r="D120" s="1">
        <v>46065.474537037036</v>
      </c>
      <c r="E120" s="2">
        <v>1</v>
      </c>
      <c r="F120" s="2">
        <v>7</v>
      </c>
      <c r="G120" s="2">
        <v>0</v>
      </c>
      <c r="H120" s="1" t="s">
        <v>1</v>
      </c>
      <c r="I120" s="2">
        <v>0</v>
      </c>
      <c r="J120" s="1">
        <v>46065.453414351854</v>
      </c>
    </row>
    <row r="121" spans="1:10" x14ac:dyDescent="0.2">
      <c r="A121" s="4" t="s">
        <v>0</v>
      </c>
      <c r="B121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1" s="3" t="str">
        <f>HYPERLINK("https://otsuka-europe-crm.veevavault.com/ui/#object/sent_email__v/VBL00000001C479", "SE-001403904")</f>
        <v>SE-001403904</v>
      </c>
      <c r="D121" s="1" t="s">
        <v>1</v>
      </c>
      <c r="E121" s="2">
        <v>0</v>
      </c>
      <c r="F121" s="2">
        <v>0</v>
      </c>
      <c r="G121" s="2">
        <v>0</v>
      </c>
      <c r="H121" s="1" t="s">
        <v>1</v>
      </c>
      <c r="I121" s="2">
        <v>0</v>
      </c>
      <c r="J121" s="1">
        <v>46065.456967592596</v>
      </c>
    </row>
    <row r="122" spans="1:10" x14ac:dyDescent="0.2">
      <c r="A122" s="4" t="s">
        <v>0</v>
      </c>
      <c r="B122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2" s="3" t="str">
        <f>HYPERLINK("https://otsuka-europe-crm.veevavault.com/ui/#object/sent_email__v/VBL00000001B564", "SE-001403935")</f>
        <v>SE-001403935</v>
      </c>
      <c r="D122" s="1" t="s">
        <v>1</v>
      </c>
      <c r="E122" s="2">
        <v>0</v>
      </c>
      <c r="F122" s="2">
        <v>0</v>
      </c>
      <c r="G122" s="2">
        <v>0</v>
      </c>
      <c r="H122" s="1" t="s">
        <v>1</v>
      </c>
      <c r="I122" s="2">
        <v>0</v>
      </c>
      <c r="J122" s="1">
        <v>46065.522511574076</v>
      </c>
    </row>
    <row r="123" spans="1:10" x14ac:dyDescent="0.2">
      <c r="A123" s="4" t="s">
        <v>0</v>
      </c>
      <c r="B123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3" s="3" t="str">
        <f>HYPERLINK("https://otsuka-europe-crm.veevavault.com/ui/#object/sent_email__v/VBL00000001E007", "SE-001403981")</f>
        <v>SE-001403981</v>
      </c>
      <c r="D123" s="1">
        <v>46066.361724537041</v>
      </c>
      <c r="E123" s="2">
        <v>1</v>
      </c>
      <c r="F123" s="2">
        <v>1</v>
      </c>
      <c r="G123" s="2">
        <v>1</v>
      </c>
      <c r="H123" s="1">
        <v>46066.361724537041</v>
      </c>
      <c r="I123" s="2">
        <v>1</v>
      </c>
      <c r="J123" s="1">
        <v>46066.355069444442</v>
      </c>
    </row>
    <row r="124" spans="1:10" x14ac:dyDescent="0.2">
      <c r="A124" s="4" t="s">
        <v>0</v>
      </c>
      <c r="B124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4" s="3" t="str">
        <f>HYPERLINK("https://otsuka-europe-crm.veevavault.com/ui/#object/sent_email__v/VBL00000001D006", "SE-001403984")</f>
        <v>SE-001403984</v>
      </c>
      <c r="D124" s="1" t="s">
        <v>1</v>
      </c>
      <c r="E124" s="2">
        <v>0</v>
      </c>
      <c r="F124" s="2">
        <v>0</v>
      </c>
      <c r="G124" s="2">
        <v>0</v>
      </c>
      <c r="H124" s="1" t="s">
        <v>1</v>
      </c>
      <c r="I124" s="2">
        <v>0</v>
      </c>
      <c r="J124" s="1">
        <v>46066.366793981484</v>
      </c>
    </row>
    <row r="125" spans="1:10" x14ac:dyDescent="0.2">
      <c r="A125" s="4" t="s">
        <v>0</v>
      </c>
      <c r="B125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5" s="3" t="str">
        <f>HYPERLINK("https://otsuka-europe-crm.veevavault.com/ui/#object/sent_email__v/VBL00000001E352", "SE-001404499")</f>
        <v>SE-001404499</v>
      </c>
      <c r="D125" s="1" t="s">
        <v>1</v>
      </c>
      <c r="E125" s="2">
        <v>0</v>
      </c>
      <c r="F125" s="2">
        <v>0</v>
      </c>
      <c r="G125" s="2">
        <v>0</v>
      </c>
      <c r="H125" s="1" t="s">
        <v>1</v>
      </c>
      <c r="I125" s="2">
        <v>0</v>
      </c>
      <c r="J125" s="1">
        <v>46071.433703703704</v>
      </c>
    </row>
    <row r="126" spans="1:10" x14ac:dyDescent="0.2">
      <c r="A126" s="4" t="s">
        <v>0</v>
      </c>
      <c r="B126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6" s="3" t="str">
        <f>HYPERLINK("https://otsuka-europe-crm.veevavault.com/ui/#object/sent_email__v/VBL00000001D205", "SE-001404501")</f>
        <v>SE-001404501</v>
      </c>
      <c r="D126" s="1" t="s">
        <v>1</v>
      </c>
      <c r="E126" s="2">
        <v>0</v>
      </c>
      <c r="F126" s="2">
        <v>0</v>
      </c>
      <c r="G126" s="2">
        <v>0</v>
      </c>
      <c r="H126" s="1" t="s">
        <v>1</v>
      </c>
      <c r="I126" s="2">
        <v>0</v>
      </c>
      <c r="J126" s="1">
        <v>46071.438113425924</v>
      </c>
    </row>
    <row r="127" spans="1:10" x14ac:dyDescent="0.2">
      <c r="A127" s="4" t="s">
        <v>0</v>
      </c>
      <c r="B127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7" s="3" t="str">
        <f>HYPERLINK("https://otsuka-europe-crm.veevavault.com/ui/#object/sent_email__v/VBL00000001E502", "SE-001405122")</f>
        <v>SE-001405122</v>
      </c>
      <c r="D127" s="1">
        <v>46072.594340277778</v>
      </c>
      <c r="E127" s="2">
        <v>1</v>
      </c>
      <c r="F127" s="2">
        <v>1</v>
      </c>
      <c r="G127" s="2">
        <v>1</v>
      </c>
      <c r="H127" s="1">
        <v>46072.594340277778</v>
      </c>
      <c r="I127" s="2">
        <v>1</v>
      </c>
      <c r="J127" s="1">
        <v>46072.580937500003</v>
      </c>
    </row>
    <row r="128" spans="1:10" x14ac:dyDescent="0.2">
      <c r="A128" s="4" t="s">
        <v>0</v>
      </c>
      <c r="B128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8" s="3" t="str">
        <f>HYPERLINK("https://otsuka-europe-crm.veevavault.com/ui/#object/sent_email__v/VBL00000001F032", "SE-001405417")</f>
        <v>SE-001405417</v>
      </c>
      <c r="D128" s="1">
        <v>46073.53329861111</v>
      </c>
      <c r="E128" s="2">
        <v>1</v>
      </c>
      <c r="F128" s="2">
        <v>1</v>
      </c>
      <c r="G128" s="2">
        <v>1</v>
      </c>
      <c r="H128" s="1">
        <v>46074.437986111108</v>
      </c>
      <c r="I128" s="2">
        <v>2</v>
      </c>
      <c r="J128" s="1">
        <v>46073.533229166664</v>
      </c>
    </row>
    <row r="129" spans="1:10" x14ac:dyDescent="0.2">
      <c r="A129" s="4" t="s">
        <v>0</v>
      </c>
      <c r="B129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29" s="3" t="str">
        <f>HYPERLINK("https://otsuka-europe-crm.veevavault.com/ui/#object/sent_email__v/VBL00000001F104", "SE-001405550")</f>
        <v>SE-001405550</v>
      </c>
      <c r="D129" s="1" t="s">
        <v>1</v>
      </c>
      <c r="E129" s="2">
        <v>0</v>
      </c>
      <c r="F129" s="2">
        <v>0</v>
      </c>
      <c r="G129" s="2">
        <v>0</v>
      </c>
      <c r="H129" s="1" t="s">
        <v>1</v>
      </c>
      <c r="I129" s="2">
        <v>0</v>
      </c>
      <c r="J129" s="1">
        <v>46076.389606481483</v>
      </c>
    </row>
    <row r="130" spans="1:10" x14ac:dyDescent="0.2">
      <c r="A130" s="4" t="s">
        <v>0</v>
      </c>
      <c r="B130" s="3" t="str">
        <f>HYPERLINK("https://otsuka-europe-crm.veevavault.com/ui/#object/approved_document__v/V5OZ04ASG4FXQX9", "AT - HCP Einwilligung für Remote Calls Österreich")</f>
        <v>AT - HCP Einwilligung für Remote Calls Österreich</v>
      </c>
      <c r="C130" s="3" t="str">
        <f>HYPERLINK("https://otsuka-europe-crm.veevavault.com/ui/#object/sent_email__v/VBL00000001G523", "SE-001406020")</f>
        <v>SE-001406020</v>
      </c>
      <c r="D130" s="1">
        <v>46077.691006944442</v>
      </c>
      <c r="E130" s="2">
        <v>1</v>
      </c>
      <c r="F130" s="2">
        <v>1</v>
      </c>
      <c r="G130" s="2">
        <v>0</v>
      </c>
      <c r="H130" s="1" t="s">
        <v>1</v>
      </c>
      <c r="I130" s="2">
        <v>0</v>
      </c>
      <c r="J130" s="1">
        <v>46077.604861111111</v>
      </c>
    </row>
    <row r="131" spans="1:10" x14ac:dyDescent="0.2">
      <c r="A131" s="4" t="s">
        <v>0</v>
      </c>
      <c r="B131" s="3" t="str">
        <f>HYPERLINK("https://otsuka-europe-crm.veevavault.com/ui/#object/approved_document__v/V5O00000000D071", "Austria - Consent Email - Aug25")</f>
        <v>Austria - Consent Email - Aug25</v>
      </c>
      <c r="C131" s="3" t="str">
        <f>HYPERLINK("https://otsuka-europe-crm.veevavault.com/ui/#object/sent_email__v/VBL00000000W299", "SE-001396113")</f>
        <v>SE-001396113</v>
      </c>
      <c r="D131" s="1">
        <v>46001.466273148151</v>
      </c>
      <c r="E131" s="2">
        <v>1</v>
      </c>
      <c r="F131" s="2">
        <v>3</v>
      </c>
      <c r="G131" s="2">
        <v>0</v>
      </c>
      <c r="H131" s="1" t="s">
        <v>1</v>
      </c>
      <c r="I131" s="2">
        <v>0</v>
      </c>
      <c r="J131" s="1">
        <v>46001.433240740742</v>
      </c>
    </row>
    <row r="132" spans="1:10" x14ac:dyDescent="0.2">
      <c r="A132" s="4" t="s">
        <v>0</v>
      </c>
      <c r="B132" s="3" t="str">
        <f>HYPERLINK("https://otsuka-europe-crm.veevavault.com/ui/#object/approved_document__v/V5O00000000D071", "Austria - Consent Email - Aug25")</f>
        <v>Austria - Consent Email - Aug25</v>
      </c>
      <c r="C132" s="3" t="str">
        <f>HYPERLINK("https://otsuka-europe-crm.veevavault.com/ui/#object/sent_email__v/VBL00000000W301", "SE-001396115")</f>
        <v>SE-001396115</v>
      </c>
      <c r="D132" s="1" t="s">
        <v>1</v>
      </c>
      <c r="E132" s="2">
        <v>0</v>
      </c>
      <c r="F132" s="2">
        <v>0</v>
      </c>
      <c r="G132" s="2">
        <v>0</v>
      </c>
      <c r="H132" s="1" t="s">
        <v>1</v>
      </c>
      <c r="I132" s="2">
        <v>0</v>
      </c>
      <c r="J132" s="1">
        <v>46001.434444444443</v>
      </c>
    </row>
    <row r="133" spans="1:10" x14ac:dyDescent="0.2">
      <c r="A133" s="4" t="s">
        <v>0</v>
      </c>
      <c r="B133" s="3" t="str">
        <f>HYPERLINK("https://otsuka-europe-crm.veevavault.com/ui/#object/approved_document__v/V5O00000000D071", "Austria - Consent Email - Aug25")</f>
        <v>Austria - Consent Email - Aug25</v>
      </c>
      <c r="C133" s="3" t="str">
        <f>HYPERLINK("https://otsuka-europe-crm.veevavault.com/ui/#object/sent_email__v/VBL00000000W304", "SE-001396118")</f>
        <v>SE-001396118</v>
      </c>
      <c r="D133" s="1">
        <v>46001.490891203706</v>
      </c>
      <c r="E133" s="2">
        <v>1</v>
      </c>
      <c r="F133" s="2">
        <v>2</v>
      </c>
      <c r="G133" s="2">
        <v>0</v>
      </c>
      <c r="H133" s="1" t="s">
        <v>1</v>
      </c>
      <c r="I133" s="2">
        <v>0</v>
      </c>
      <c r="J133" s="1">
        <v>46001.46806712963</v>
      </c>
    </row>
    <row r="134" spans="1:10" x14ac:dyDescent="0.2">
      <c r="A134" s="4" t="s">
        <v>0</v>
      </c>
      <c r="B134" s="3" t="str">
        <f>HYPERLINK("https://otsuka-europe-crm.veevavault.com/ui/#object/approved_document__v/V5O00000000D071", "Austria - Consent Email - Aug25")</f>
        <v>Austria - Consent Email - Aug25</v>
      </c>
      <c r="C134" s="3" t="str">
        <f>HYPERLINK("https://otsuka-europe-crm.veevavault.com/ui/#object/sent_email__v/VBL00000000X370", "SE-001396163")</f>
        <v>SE-001396163</v>
      </c>
      <c r="D134" s="1" t="s">
        <v>1</v>
      </c>
      <c r="E134" s="2">
        <v>0</v>
      </c>
      <c r="F134" s="2">
        <v>0</v>
      </c>
      <c r="G134" s="2">
        <v>0</v>
      </c>
      <c r="H134" s="1" t="s">
        <v>1</v>
      </c>
      <c r="I134" s="2">
        <v>0</v>
      </c>
      <c r="J134" s="1">
        <v>46002.338321759256</v>
      </c>
    </row>
    <row r="135" spans="1:10" x14ac:dyDescent="0.2">
      <c r="A135" s="4" t="s">
        <v>0</v>
      </c>
      <c r="B135" s="3" t="str">
        <f>HYPERLINK("https://otsuka-europe-crm.veevavault.com/ui/#object/approved_document__v/V5O00000000D071", "Austria - Consent Email - Aug25")</f>
        <v>Austria - Consent Email - Aug25</v>
      </c>
      <c r="C135" s="3" t="str">
        <f>HYPERLINK("https://otsuka-europe-crm.veevavault.com/ui/#object/sent_email__v/VBL000000011724", "SE-001397537")</f>
        <v>SE-001397537</v>
      </c>
      <c r="D135" s="1" t="s">
        <v>1</v>
      </c>
      <c r="E135" s="2">
        <v>0</v>
      </c>
      <c r="F135" s="2">
        <v>0</v>
      </c>
      <c r="G135" s="2">
        <v>0</v>
      </c>
      <c r="H135" s="1" t="s">
        <v>1</v>
      </c>
      <c r="I135" s="2">
        <v>0</v>
      </c>
      <c r="J135" s="1">
        <v>46009.300856481481</v>
      </c>
    </row>
    <row r="136" spans="1:10" x14ac:dyDescent="0.2">
      <c r="A136" s="4" t="s">
        <v>0</v>
      </c>
      <c r="B136" s="3" t="str">
        <f>HYPERLINK("https://otsuka-europe-crm.veevavault.com/ui/#object/approved_document__v/V5O00000000D071", "Austria - Consent Email - Aug25")</f>
        <v>Austria - Consent Email - Aug25</v>
      </c>
      <c r="C136" s="3" t="str">
        <f>HYPERLINK("https://otsuka-europe-crm.veevavault.com/ui/#object/sent_email__v/VBL000000011725", "SE-001397538")</f>
        <v>SE-001397538</v>
      </c>
      <c r="D136" s="1" t="s">
        <v>1</v>
      </c>
      <c r="E136" s="2">
        <v>0</v>
      </c>
      <c r="F136" s="2">
        <v>0</v>
      </c>
      <c r="G136" s="2">
        <v>0</v>
      </c>
      <c r="H136" s="1" t="s">
        <v>1</v>
      </c>
      <c r="I136" s="2">
        <v>0</v>
      </c>
      <c r="J136" s="1">
        <v>46009.301099537035</v>
      </c>
    </row>
    <row r="137" spans="1:10" x14ac:dyDescent="0.2">
      <c r="A137" s="4" t="s">
        <v>0</v>
      </c>
      <c r="B137" s="3" t="str">
        <f>HYPERLINK("https://otsuka-europe-crm.veevavault.com/ui/#object/approved_document__v/V5O00000000D071", "Austria - Consent Email - Aug25")</f>
        <v>Austria - Consent Email - Aug25</v>
      </c>
      <c r="C137" s="3" t="str">
        <f>HYPERLINK("https://otsuka-europe-crm.veevavault.com/ui/#object/sent_email__v/VBL000000012756", "SE-001399409")</f>
        <v>SE-001399409</v>
      </c>
      <c r="D137" s="1">
        <v>46043.375497685185</v>
      </c>
      <c r="E137" s="2">
        <v>1</v>
      </c>
      <c r="F137" s="2">
        <v>7</v>
      </c>
      <c r="G137" s="2">
        <v>1</v>
      </c>
      <c r="H137" s="1">
        <v>46030.358854166669</v>
      </c>
      <c r="I137" s="2">
        <v>1</v>
      </c>
      <c r="J137" s="1">
        <v>46030.357465277775</v>
      </c>
    </row>
    <row r="138" spans="1:10" x14ac:dyDescent="0.2">
      <c r="A138" s="4" t="s">
        <v>0</v>
      </c>
      <c r="B138" s="3" t="str">
        <f>HYPERLINK("https://otsuka-europe-crm.veevavault.com/ui/#object/approved_document__v/V5O00000000K004", "Austria - Consent Email - Aug25 v2")</f>
        <v>Austria - Consent Email - Aug25 v2</v>
      </c>
      <c r="C138" s="3" t="str">
        <f>HYPERLINK("https://otsuka-europe-crm.veevavault.com/ui/#object/sent_email__v/VBL000000016353", "SE-001400589")</f>
        <v>SE-001400589</v>
      </c>
      <c r="D138" s="1">
        <v>46043.429745370369</v>
      </c>
      <c r="E138" s="2">
        <v>1</v>
      </c>
      <c r="F138" s="2">
        <v>1</v>
      </c>
      <c r="G138" s="2">
        <v>1</v>
      </c>
      <c r="H138" s="1">
        <v>46043.429745370369</v>
      </c>
      <c r="I138" s="2">
        <v>1</v>
      </c>
      <c r="J138" s="1">
        <v>46043.423310185186</v>
      </c>
    </row>
    <row r="139" spans="1:10" x14ac:dyDescent="0.2">
      <c r="A139" s="4" t="s">
        <v>0</v>
      </c>
      <c r="B139" s="3" t="str">
        <f>HYPERLINK("https://otsuka-europe-crm.veevavault.com/ui/#object/approved_document__v/V5O00000000K004", "Austria - Consent Email - Aug25 v2")</f>
        <v>Austria - Consent Email - Aug25 v2</v>
      </c>
      <c r="C139" s="3" t="str">
        <f>HYPERLINK("https://otsuka-europe-crm.veevavault.com/ui/#object/sent_email__v/VBL000000015242", "SE-001400591")</f>
        <v>SE-001400591</v>
      </c>
      <c r="D139" s="1">
        <v>46043.429467592592</v>
      </c>
      <c r="E139" s="2">
        <v>1</v>
      </c>
      <c r="F139" s="2">
        <v>1</v>
      </c>
      <c r="G139" s="2">
        <v>1</v>
      </c>
      <c r="H139" s="1">
        <v>46043.429467592592</v>
      </c>
      <c r="I139" s="2">
        <v>1</v>
      </c>
      <c r="J139" s="1">
        <v>46043.422881944447</v>
      </c>
    </row>
    <row r="140" spans="1:10" x14ac:dyDescent="0.2">
      <c r="A140" s="4" t="s">
        <v>0</v>
      </c>
      <c r="B140" s="3" t="str">
        <f>HYPERLINK("https://otsuka-europe-crm.veevavault.com/ui/#object/approved_document__v/V5O00000000K004", "Austria - Consent Email - Aug25 v2")</f>
        <v>Austria - Consent Email - Aug25 v2</v>
      </c>
      <c r="C140" s="3" t="str">
        <f>HYPERLINK("https://otsuka-europe-crm.veevavault.com/ui/#object/sent_email__v/VBL000000016383", "SE-001400652")</f>
        <v>SE-001400652</v>
      </c>
      <c r="D140" s="1">
        <v>46043.528912037036</v>
      </c>
      <c r="E140" s="2">
        <v>1</v>
      </c>
      <c r="F140" s="2">
        <v>1</v>
      </c>
      <c r="G140" s="2">
        <v>0</v>
      </c>
      <c r="H140" s="1" t="s">
        <v>1</v>
      </c>
      <c r="I140" s="2">
        <v>0</v>
      </c>
      <c r="J140" s="1">
        <v>46043.514328703706</v>
      </c>
    </row>
    <row r="141" spans="1:10" x14ac:dyDescent="0.2">
      <c r="A141" s="4" t="s">
        <v>0</v>
      </c>
      <c r="B141" s="3" t="str">
        <f>HYPERLINK("https://otsuka-europe-crm.veevavault.com/ui/#object/approved_document__v/V5O00000000K004", "Austria - Consent Email - Aug25 v2")</f>
        <v>Austria - Consent Email - Aug25 v2</v>
      </c>
      <c r="C141" s="3" t="str">
        <f>HYPERLINK("https://otsuka-europe-crm.veevavault.com/ui/#object/sent_email__v/VBL000000016451", "SE-001400728")</f>
        <v>SE-001400728</v>
      </c>
      <c r="D141" s="1">
        <v>46043.573599537034</v>
      </c>
      <c r="E141" s="2">
        <v>1</v>
      </c>
      <c r="F141" s="2">
        <v>1</v>
      </c>
      <c r="G141" s="2">
        <v>1</v>
      </c>
      <c r="H141" s="1">
        <v>46043.574166666665</v>
      </c>
      <c r="I141" s="2">
        <v>1</v>
      </c>
      <c r="J141" s="1">
        <v>46043.573437500003</v>
      </c>
    </row>
    <row r="142" spans="1:10" x14ac:dyDescent="0.2">
      <c r="A142" s="4" t="s">
        <v>0</v>
      </c>
      <c r="B142" s="3" t="str">
        <f>HYPERLINK("https://otsuka-europe-crm.veevavault.com/ui/#object/approved_document__v/V5O00000000K004", "Austria - Consent Email - Aug25 v2")</f>
        <v>Austria - Consent Email - Aug25 v2</v>
      </c>
      <c r="C142" s="3" t="str">
        <f>HYPERLINK("https://otsuka-europe-crm.veevavault.com/ui/#object/sent_email__v/VBL000000016452", "SE-001400729")</f>
        <v>SE-001400729</v>
      </c>
      <c r="D142" s="1">
        <v>46045.410451388889</v>
      </c>
      <c r="E142" s="2">
        <v>1</v>
      </c>
      <c r="F142" s="2">
        <v>2</v>
      </c>
      <c r="G142" s="2">
        <v>1</v>
      </c>
      <c r="H142" s="1">
        <v>46045.445625</v>
      </c>
      <c r="I142" s="2">
        <v>1</v>
      </c>
      <c r="J142" s="1">
        <v>46043.578750000001</v>
      </c>
    </row>
    <row r="143" spans="1:10" x14ac:dyDescent="0.2">
      <c r="A143" s="4" t="s">
        <v>0</v>
      </c>
      <c r="B143" s="3" t="str">
        <f>HYPERLINK("https://otsuka-europe-crm.veevavault.com/ui/#object/approved_document__v/V5O00000000K004", "Austria - Consent Email - Aug25 v2")</f>
        <v>Austria - Consent Email - Aug25 v2</v>
      </c>
      <c r="C143" s="3" t="str">
        <f>HYPERLINK("https://otsuka-europe-crm.veevavault.com/ui/#object/sent_email__v/VBL000000016493", "SE-001400773")</f>
        <v>SE-001400773</v>
      </c>
      <c r="D143" s="1">
        <v>46047.608275462961</v>
      </c>
      <c r="E143" s="2">
        <v>1</v>
      </c>
      <c r="F143" s="2">
        <v>1</v>
      </c>
      <c r="G143" s="2">
        <v>1</v>
      </c>
      <c r="H143" s="1">
        <v>46050.355173611111</v>
      </c>
      <c r="I143" s="2">
        <v>1</v>
      </c>
      <c r="J143" s="1">
        <v>46044.453425925924</v>
      </c>
    </row>
    <row r="144" spans="1:10" x14ac:dyDescent="0.2">
      <c r="A144" s="4" t="s">
        <v>0</v>
      </c>
      <c r="B144" s="3" t="str">
        <f>HYPERLINK("https://otsuka-europe-crm.veevavault.com/ui/#object/approved_document__v/V5O00000000K004", "Austria - Consent Email - Aug25 v2")</f>
        <v>Austria - Consent Email - Aug25 v2</v>
      </c>
      <c r="C144" s="3" t="str">
        <f>HYPERLINK("https://otsuka-europe-crm.veevavault.com/ui/#object/sent_email__v/VBL000000016547", "SE-001400854")</f>
        <v>SE-001400854</v>
      </c>
      <c r="D144" s="1" t="s">
        <v>1</v>
      </c>
      <c r="E144" s="2">
        <v>0</v>
      </c>
      <c r="F144" s="2">
        <v>0</v>
      </c>
      <c r="G144" s="2">
        <v>0</v>
      </c>
      <c r="H144" s="1" t="s">
        <v>1</v>
      </c>
      <c r="I144" s="2">
        <v>0</v>
      </c>
      <c r="J144" s="1">
        <v>46045.459166666667</v>
      </c>
    </row>
    <row r="145" spans="1:10" x14ac:dyDescent="0.2">
      <c r="A145" s="4" t="s">
        <v>0</v>
      </c>
      <c r="B145" s="3" t="str">
        <f>HYPERLINK("https://otsuka-europe-crm.veevavault.com/ui/#object/approved_document__v/V5O00000000K004", "Austria - Consent Email - Aug25 v2")</f>
        <v>Austria - Consent Email - Aug25 v2</v>
      </c>
      <c r="C145" s="3" t="str">
        <f>HYPERLINK("https://otsuka-europe-crm.veevavault.com/ui/#object/sent_email__v/VBL000000015346", "SE-001400925")</f>
        <v>SE-001400925</v>
      </c>
      <c r="D145" s="1">
        <v>46048.463506944441</v>
      </c>
      <c r="E145" s="2">
        <v>1</v>
      </c>
      <c r="F145" s="2">
        <v>1</v>
      </c>
      <c r="G145" s="2">
        <v>0</v>
      </c>
      <c r="H145" s="1" t="s">
        <v>1</v>
      </c>
      <c r="I145" s="2">
        <v>0</v>
      </c>
      <c r="J145" s="1">
        <v>46048.427384259259</v>
      </c>
    </row>
    <row r="146" spans="1:10" x14ac:dyDescent="0.2">
      <c r="A146" s="4" t="s">
        <v>0</v>
      </c>
      <c r="B146" s="3" t="str">
        <f>HYPERLINK("https://otsuka-europe-crm.veevavault.com/ui/#object/approved_document__v/V5O00000000K004", "Austria - Consent Email - Aug25 v2")</f>
        <v>Austria - Consent Email - Aug25 v2</v>
      </c>
      <c r="C146" s="3" t="str">
        <f>HYPERLINK("https://otsuka-europe-crm.veevavault.com/ui/#object/sent_email__v/VBL000000015348", "SE-001400927")</f>
        <v>SE-001400927</v>
      </c>
      <c r="D146" s="1" t="s">
        <v>1</v>
      </c>
      <c r="E146" s="2">
        <v>0</v>
      </c>
      <c r="F146" s="2">
        <v>0</v>
      </c>
      <c r="G146" s="2">
        <v>0</v>
      </c>
      <c r="H146" s="1" t="s">
        <v>1</v>
      </c>
      <c r="I146" s="2">
        <v>0</v>
      </c>
      <c r="J146" s="1">
        <v>46048.431157407409</v>
      </c>
    </row>
    <row r="147" spans="1:10" x14ac:dyDescent="0.2">
      <c r="A147" s="4" t="s">
        <v>0</v>
      </c>
      <c r="B147" s="3" t="str">
        <f>HYPERLINK("https://otsuka-europe-crm.veevavault.com/ui/#object/approved_document__v/V5O00000000K004", "Austria - Consent Email - Aug25 v2")</f>
        <v>Austria - Consent Email - Aug25 v2</v>
      </c>
      <c r="C147" s="3" t="str">
        <f>HYPERLINK("https://otsuka-europe-crm.veevavault.com/ui/#object/sent_email__v/VBL000000016615", "SE-001400944")</f>
        <v>SE-001400944</v>
      </c>
      <c r="D147" s="1" t="s">
        <v>1</v>
      </c>
      <c r="E147" s="2">
        <v>0</v>
      </c>
      <c r="F147" s="2">
        <v>0</v>
      </c>
      <c r="G147" s="2">
        <v>0</v>
      </c>
      <c r="H147" s="1" t="s">
        <v>1</v>
      </c>
      <c r="I147" s="2">
        <v>0</v>
      </c>
      <c r="J147" s="1">
        <v>46048.513865740744</v>
      </c>
    </row>
    <row r="148" spans="1:10" x14ac:dyDescent="0.2">
      <c r="A148" s="4" t="s">
        <v>0</v>
      </c>
      <c r="B148" s="3" t="str">
        <f>HYPERLINK("https://otsuka-europe-crm.veevavault.com/ui/#object/approved_document__v/V5O00000000K004", "Austria - Consent Email - Aug25 v2")</f>
        <v>Austria - Consent Email - Aug25 v2</v>
      </c>
      <c r="C148" s="3" t="str">
        <f>HYPERLINK("https://otsuka-europe-crm.veevavault.com/ui/#object/sent_email__v/VBL000000016905", "SE-001401639")</f>
        <v>SE-001401639</v>
      </c>
      <c r="D148" s="1" t="s">
        <v>1</v>
      </c>
      <c r="E148" s="2">
        <v>0</v>
      </c>
      <c r="F148" s="2">
        <v>0</v>
      </c>
      <c r="G148" s="2">
        <v>0</v>
      </c>
      <c r="H148" s="1" t="s">
        <v>1</v>
      </c>
      <c r="I148" s="2">
        <v>0</v>
      </c>
      <c r="J148" s="1">
        <v>46049.302349537036</v>
      </c>
    </row>
    <row r="149" spans="1:10" x14ac:dyDescent="0.2">
      <c r="A149" s="4" t="s">
        <v>0</v>
      </c>
      <c r="B149" s="3" t="str">
        <f>HYPERLINK("https://otsuka-europe-crm.veevavault.com/ui/#object/approved_document__v/V5O00000000K004", "Austria - Consent Email - Aug25 v2")</f>
        <v>Austria - Consent Email - Aug25 v2</v>
      </c>
      <c r="C149" s="3" t="str">
        <f>HYPERLINK("https://otsuka-europe-crm.veevavault.com/ui/#object/sent_email__v/VBL000000018013", "SE-001402027")</f>
        <v>SE-001402027</v>
      </c>
      <c r="D149" s="1">
        <v>46051.334004629629</v>
      </c>
      <c r="E149" s="2">
        <v>1</v>
      </c>
      <c r="F149" s="2">
        <v>1</v>
      </c>
      <c r="G149" s="2">
        <v>1</v>
      </c>
      <c r="H149" s="1">
        <v>46051.334004629629</v>
      </c>
      <c r="I149" s="2">
        <v>1</v>
      </c>
      <c r="J149" s="1">
        <v>46050.367800925924</v>
      </c>
    </row>
    <row r="150" spans="1:10" x14ac:dyDescent="0.2">
      <c r="A150" s="4" t="s">
        <v>0</v>
      </c>
      <c r="B150" s="3" t="str">
        <f>HYPERLINK("https://otsuka-europe-crm.veevavault.com/ui/#object/approved_document__v/V5O00000000K004", "Austria - Consent Email - Aug25 v2")</f>
        <v>Austria - Consent Email - Aug25 v2</v>
      </c>
      <c r="C150" s="3" t="str">
        <f>HYPERLINK("https://otsuka-europe-crm.veevavault.com/ui/#object/sent_email__v/VBL000000017127", "SE-001402149")</f>
        <v>SE-001402149</v>
      </c>
      <c r="D150" s="1" t="s">
        <v>1</v>
      </c>
      <c r="E150" s="2">
        <v>0</v>
      </c>
      <c r="F150" s="2">
        <v>0</v>
      </c>
      <c r="G150" s="2">
        <v>0</v>
      </c>
      <c r="H150" s="1" t="s">
        <v>1</v>
      </c>
      <c r="I150" s="2">
        <v>0</v>
      </c>
      <c r="J150" s="1">
        <v>46050.569178240738</v>
      </c>
    </row>
    <row r="151" spans="1:10" x14ac:dyDescent="0.2">
      <c r="A151" s="4" t="s">
        <v>0</v>
      </c>
      <c r="B151" s="3" t="str">
        <f>HYPERLINK("https://otsuka-europe-crm.veevavault.com/ui/#object/approved_document__v/V5O00000000K004", "Austria - Consent Email - Aug25 v2")</f>
        <v>Austria - Consent Email - Aug25 v2</v>
      </c>
      <c r="C151" s="3" t="str">
        <f>HYPERLINK("https://otsuka-europe-crm.veevavault.com/ui/#object/sent_email__v/VBL00000001A018", "SE-001402292")</f>
        <v>SE-001402292</v>
      </c>
      <c r="D151" s="1" t="s">
        <v>1</v>
      </c>
      <c r="E151" s="2">
        <v>0</v>
      </c>
      <c r="F151" s="2">
        <v>0</v>
      </c>
      <c r="G151" s="2">
        <v>0</v>
      </c>
      <c r="H151" s="1" t="s">
        <v>1</v>
      </c>
      <c r="I151" s="2">
        <v>0</v>
      </c>
      <c r="J151" s="1">
        <v>46052.428229166668</v>
      </c>
    </row>
    <row r="152" spans="1:10" x14ac:dyDescent="0.2">
      <c r="A152" s="4" t="s">
        <v>0</v>
      </c>
      <c r="B152" s="3" t="str">
        <f>HYPERLINK("https://otsuka-europe-crm.veevavault.com/ui/#object/approved_document__v/V5O00000000K004", "Austria - Consent Email - Aug25 v2")</f>
        <v>Austria - Consent Email - Aug25 v2</v>
      </c>
      <c r="C152" s="3" t="str">
        <f>HYPERLINK("https://otsuka-europe-crm.veevavault.com/ui/#object/sent_email__v/VBL000000019063", "SE-001402357")</f>
        <v>SE-001402357</v>
      </c>
      <c r="D152" s="1" t="s">
        <v>1</v>
      </c>
      <c r="E152" s="2">
        <v>0</v>
      </c>
      <c r="F152" s="2">
        <v>0</v>
      </c>
      <c r="G152" s="2">
        <v>0</v>
      </c>
      <c r="H152" s="1" t="s">
        <v>1</v>
      </c>
      <c r="I152" s="2">
        <v>0</v>
      </c>
      <c r="J152" s="1">
        <v>46055.440497685187</v>
      </c>
    </row>
    <row r="153" spans="1:10" x14ac:dyDescent="0.2">
      <c r="A153" s="4" t="s">
        <v>0</v>
      </c>
      <c r="B153" s="3" t="str">
        <f>HYPERLINK("https://otsuka-europe-crm.veevavault.com/ui/#object/approved_document__v/V5O00000000K004", "Austria - Consent Email - Aug25 v2")</f>
        <v>Austria - Consent Email - Aug25 v2</v>
      </c>
      <c r="C153" s="3" t="str">
        <f>HYPERLINK("https://otsuka-europe-crm.veevavault.com/ui/#object/sent_email__v/VBL000000019064", "SE-001402358")</f>
        <v>SE-001402358</v>
      </c>
      <c r="D153" s="1">
        <v>46055.576064814813</v>
      </c>
      <c r="E153" s="2">
        <v>1</v>
      </c>
      <c r="F153" s="2">
        <v>1</v>
      </c>
      <c r="G153" s="2">
        <v>0</v>
      </c>
      <c r="H153" s="1" t="s">
        <v>1</v>
      </c>
      <c r="I153" s="2">
        <v>0</v>
      </c>
      <c r="J153" s="1">
        <v>46055.450624999998</v>
      </c>
    </row>
    <row r="154" spans="1:10" x14ac:dyDescent="0.2">
      <c r="A154" s="4" t="s">
        <v>0</v>
      </c>
      <c r="B154" s="3" t="str">
        <f>HYPERLINK("https://otsuka-europe-crm.veevavault.com/ui/#object/approved_document__v/V5O00000000K004", "Austria - Consent Email - Aug25 v2")</f>
        <v>Austria - Consent Email - Aug25 v2</v>
      </c>
      <c r="C154" s="3" t="str">
        <f>HYPERLINK("https://otsuka-europe-crm.veevavault.com/ui/#object/sent_email__v/VBL00000001A100", "SE-001402588")</f>
        <v>SE-001402588</v>
      </c>
      <c r="D154" s="1">
        <v>46057.770624999997</v>
      </c>
      <c r="E154" s="2">
        <v>1</v>
      </c>
      <c r="F154" s="2">
        <v>2</v>
      </c>
      <c r="G154" s="2">
        <v>0</v>
      </c>
      <c r="H154" s="1" t="s">
        <v>1</v>
      </c>
      <c r="I154" s="2">
        <v>0</v>
      </c>
      <c r="J154" s="1">
        <v>46056.469710648147</v>
      </c>
    </row>
    <row r="155" spans="1:10" x14ac:dyDescent="0.2">
      <c r="A155" s="4" t="s">
        <v>0</v>
      </c>
      <c r="B155" s="3" t="str">
        <f>HYPERLINK("https://otsuka-europe-crm.veevavault.com/ui/#object/approved_document__v/V5O00000000K004", "Austria - Consent Email - Aug25 v2")</f>
        <v>Austria - Consent Email - Aug25 v2</v>
      </c>
      <c r="C155" s="3" t="str">
        <f>HYPERLINK("https://otsuka-europe-crm.veevavault.com/ui/#object/sent_email__v/VBL00000001A103", "SE-001402592")</f>
        <v>SE-001402592</v>
      </c>
      <c r="D155" s="1" t="s">
        <v>1</v>
      </c>
      <c r="E155" s="2">
        <v>0</v>
      </c>
      <c r="F155" s="2">
        <v>0</v>
      </c>
      <c r="G155" s="2">
        <v>0</v>
      </c>
      <c r="H155" s="1" t="s">
        <v>1</v>
      </c>
      <c r="I155" s="2">
        <v>0</v>
      </c>
      <c r="J155" s="1">
        <v>46056.483449074076</v>
      </c>
    </row>
    <row r="156" spans="1:10" x14ac:dyDescent="0.2">
      <c r="A156" s="4" t="s">
        <v>0</v>
      </c>
      <c r="B156" s="3" t="str">
        <f>HYPERLINK("https://otsuka-europe-crm.veevavault.com/ui/#object/approved_document__v/V5O00000000K004", "Austria - Consent Email - Aug25 v2")</f>
        <v>Austria - Consent Email - Aug25 v2</v>
      </c>
      <c r="C156" s="3" t="str">
        <f>HYPERLINK("https://otsuka-europe-crm.veevavault.com/ui/#object/sent_email__v/VBL000000019360", "SE-001402780")</f>
        <v>SE-001402780</v>
      </c>
      <c r="D156" s="1" t="s">
        <v>1</v>
      </c>
      <c r="E156" s="2">
        <v>0</v>
      </c>
      <c r="F156" s="2">
        <v>0</v>
      </c>
      <c r="G156" s="2">
        <v>0</v>
      </c>
      <c r="H156" s="1" t="s">
        <v>1</v>
      </c>
      <c r="I156" s="2">
        <v>0</v>
      </c>
      <c r="J156" s="1">
        <v>46058.564340277779</v>
      </c>
    </row>
    <row r="157" spans="1:10" x14ac:dyDescent="0.2">
      <c r="A157" s="4" t="s">
        <v>0</v>
      </c>
      <c r="B157" s="3" t="str">
        <f>HYPERLINK("https://otsuka-europe-crm.veevavault.com/ui/#object/approved_document__v/V5O00000000K004", "Austria - Consent Email - Aug25 v2")</f>
        <v>Austria - Consent Email - Aug25 v2</v>
      </c>
      <c r="C157" s="3" t="str">
        <f>HYPERLINK("https://otsuka-europe-crm.veevavault.com/ui/#object/sent_email__v/VBL00000001A198", "SE-001402783")</f>
        <v>SE-001402783</v>
      </c>
      <c r="D157" s="1" t="s">
        <v>1</v>
      </c>
      <c r="E157" s="2">
        <v>0</v>
      </c>
      <c r="F157" s="2">
        <v>0</v>
      </c>
      <c r="G157" s="2">
        <v>0</v>
      </c>
      <c r="H157" s="1" t="s">
        <v>1</v>
      </c>
      <c r="I157" s="2">
        <v>0</v>
      </c>
      <c r="J157" s="1">
        <v>46058.568437499998</v>
      </c>
    </row>
    <row r="158" spans="1:10" x14ac:dyDescent="0.2">
      <c r="A158" s="4" t="s">
        <v>0</v>
      </c>
      <c r="B158" s="3" t="str">
        <f>HYPERLINK("https://otsuka-europe-crm.veevavault.com/ui/#object/approved_document__v/V5O00000000K004", "Austria - Consent Email - Aug25 v2")</f>
        <v>Austria - Consent Email - Aug25 v2</v>
      </c>
      <c r="C158" s="3" t="str">
        <f>HYPERLINK("https://otsuka-europe-crm.veevavault.com/ui/#object/sent_email__v/VBL00000001A200", "SE-001402785")</f>
        <v>SE-001402785</v>
      </c>
      <c r="D158" s="1" t="s">
        <v>1</v>
      </c>
      <c r="E158" s="2">
        <v>0</v>
      </c>
      <c r="F158" s="2">
        <v>0</v>
      </c>
      <c r="G158" s="2">
        <v>0</v>
      </c>
      <c r="H158" s="1" t="s">
        <v>1</v>
      </c>
      <c r="I158" s="2">
        <v>0</v>
      </c>
      <c r="J158" s="1">
        <v>46058.570648148147</v>
      </c>
    </row>
    <row r="159" spans="1:10" x14ac:dyDescent="0.2">
      <c r="A159" s="4" t="s">
        <v>0</v>
      </c>
      <c r="B159" s="3" t="str">
        <f>HYPERLINK("https://otsuka-europe-crm.veevavault.com/ui/#object/approved_document__v/V5O00000000K004", "Austria - Consent Email - Aug25 v2")</f>
        <v>Austria - Consent Email - Aug25 v2</v>
      </c>
      <c r="C159" s="3" t="str">
        <f>HYPERLINK("https://otsuka-europe-crm.veevavault.com/ui/#object/sent_email__v/VBL00000001B020", "SE-001402964")</f>
        <v>SE-001402964</v>
      </c>
      <c r="D159" s="1">
        <v>46059.409988425927</v>
      </c>
      <c r="E159" s="2">
        <v>1</v>
      </c>
      <c r="F159" s="2">
        <v>4</v>
      </c>
      <c r="G159" s="2">
        <v>0</v>
      </c>
      <c r="H159" s="1" t="s">
        <v>1</v>
      </c>
      <c r="I159" s="2">
        <v>0</v>
      </c>
      <c r="J159" s="1">
        <v>46059.354317129626</v>
      </c>
    </row>
    <row r="160" spans="1:10" x14ac:dyDescent="0.2">
      <c r="A160" s="4" t="s">
        <v>0</v>
      </c>
      <c r="B160" s="3" t="str">
        <f>HYPERLINK("https://otsuka-europe-crm.veevavault.com/ui/#object/approved_document__v/V5O00000000K004", "Austria - Consent Email - Aug25 v2")</f>
        <v>Austria - Consent Email - Aug25 v2</v>
      </c>
      <c r="C160" s="3" t="str">
        <f>HYPERLINK("https://otsuka-europe-crm.veevavault.com/ui/#object/sent_email__v/VBL00000001C022", "SE-001402965")</f>
        <v>SE-001402965</v>
      </c>
      <c r="D160" s="1">
        <v>46059.364247685182</v>
      </c>
      <c r="E160" s="2">
        <v>1</v>
      </c>
      <c r="F160" s="2">
        <v>4</v>
      </c>
      <c r="G160" s="2">
        <v>1</v>
      </c>
      <c r="H160" s="1">
        <v>46059.358530092592</v>
      </c>
      <c r="I160" s="2">
        <v>1</v>
      </c>
      <c r="J160" s="1">
        <v>46059.356296296297</v>
      </c>
    </row>
    <row r="161" spans="1:10" x14ac:dyDescent="0.2">
      <c r="A161" s="4" t="s">
        <v>0</v>
      </c>
      <c r="B161" s="3" t="str">
        <f>HYPERLINK("https://otsuka-europe-crm.veevavault.com/ui/#object/approved_document__v/V5O00000000K004", "Austria - Consent Email - Aug25 v2")</f>
        <v>Austria - Consent Email - Aug25 v2</v>
      </c>
      <c r="C161" s="3" t="str">
        <f>HYPERLINK("https://otsuka-europe-crm.veevavault.com/ui/#object/sent_email__v/VBL00000001C023", "SE-001402966")</f>
        <v>SE-001402966</v>
      </c>
      <c r="D161" s="1">
        <v>46059.360821759263</v>
      </c>
      <c r="E161" s="2">
        <v>1</v>
      </c>
      <c r="F161" s="2">
        <v>1</v>
      </c>
      <c r="G161" s="2">
        <v>1</v>
      </c>
      <c r="H161" s="1">
        <v>46059.361631944441</v>
      </c>
      <c r="I161" s="2">
        <v>1</v>
      </c>
      <c r="J161" s="1">
        <v>46059.357245370367</v>
      </c>
    </row>
    <row r="162" spans="1:10" x14ac:dyDescent="0.2">
      <c r="A162" s="4" t="s">
        <v>0</v>
      </c>
      <c r="B162" s="3" t="str">
        <f>HYPERLINK("https://otsuka-europe-crm.veevavault.com/ui/#object/approved_document__v/V5O00000000K004", "Austria - Consent Email - Aug25 v2")</f>
        <v>Austria - Consent Email - Aug25 v2</v>
      </c>
      <c r="C162" s="3" t="str">
        <f>HYPERLINK("https://otsuka-europe-crm.veevavault.com/ui/#object/sent_email__v/VBL00000001C266", "SE-001403498")</f>
        <v>SE-001403498</v>
      </c>
      <c r="D162" s="1">
        <v>46062.959907407407</v>
      </c>
      <c r="E162" s="2">
        <v>1</v>
      </c>
      <c r="F162" s="2">
        <v>1</v>
      </c>
      <c r="G162" s="2">
        <v>0</v>
      </c>
      <c r="H162" s="1" t="s">
        <v>1</v>
      </c>
      <c r="I162" s="2">
        <v>0</v>
      </c>
      <c r="J162" s="1">
        <v>46062.502939814818</v>
      </c>
    </row>
    <row r="163" spans="1:10" x14ac:dyDescent="0.2">
      <c r="A163" s="4" t="s">
        <v>0</v>
      </c>
      <c r="B163" s="3" t="str">
        <f>HYPERLINK("https://otsuka-europe-crm.veevavault.com/ui/#object/approved_document__v/V5O00000000K004", "Austria - Consent Email - Aug25 v2")</f>
        <v>Austria - Consent Email - Aug25 v2</v>
      </c>
      <c r="C163" s="3" t="str">
        <f>HYPERLINK("https://otsuka-europe-crm.veevavault.com/ui/#object/sent_email__v/VBL00000001C370", "SE-001403687")</f>
        <v>SE-001403687</v>
      </c>
      <c r="D163" s="1" t="s">
        <v>1</v>
      </c>
      <c r="E163" s="2">
        <v>0</v>
      </c>
      <c r="F163" s="2">
        <v>0</v>
      </c>
      <c r="G163" s="2">
        <v>0</v>
      </c>
      <c r="H163" s="1" t="s">
        <v>1</v>
      </c>
      <c r="I163" s="2">
        <v>0</v>
      </c>
      <c r="J163" s="1">
        <v>46064.35832175926</v>
      </c>
    </row>
    <row r="164" spans="1:10" x14ac:dyDescent="0.2">
      <c r="A164" s="4" t="s">
        <v>0</v>
      </c>
      <c r="B164" s="3" t="str">
        <f>HYPERLINK("https://otsuka-europe-crm.veevavault.com/ui/#object/approved_document__v/V5O00000000K004", "Austria - Consent Email - Aug25 v2")</f>
        <v>Austria - Consent Email - Aug25 v2</v>
      </c>
      <c r="C164" s="3" t="str">
        <f>HYPERLINK("https://otsuka-europe-crm.veevavault.com/ui/#object/sent_email__v/VBL00000001C372", "SE-001403689")</f>
        <v>SE-001403689</v>
      </c>
      <c r="D164" s="1" t="s">
        <v>1</v>
      </c>
      <c r="E164" s="2">
        <v>0</v>
      </c>
      <c r="F164" s="2">
        <v>0</v>
      </c>
      <c r="G164" s="2">
        <v>0</v>
      </c>
      <c r="H164" s="1" t="s">
        <v>1</v>
      </c>
      <c r="I164" s="2">
        <v>0</v>
      </c>
      <c r="J164" s="1">
        <v>46064.378506944442</v>
      </c>
    </row>
    <row r="165" spans="1:10" x14ac:dyDescent="0.2">
      <c r="A165" s="4" t="s">
        <v>0</v>
      </c>
      <c r="B165" s="3" t="str">
        <f>HYPERLINK("https://otsuka-europe-crm.veevavault.com/ui/#object/approved_document__v/V5O00000000K004", "Austria - Consent Email - Aug25 v2")</f>
        <v>Austria - Consent Email - Aug25 v2</v>
      </c>
      <c r="C165" s="3" t="str">
        <f>HYPERLINK("https://otsuka-europe-crm.veevavault.com/ui/#object/sent_email__v/VBL00000001C456", "SE-001403845")</f>
        <v>SE-001403845</v>
      </c>
      <c r="D165" s="1">
        <v>46065.417395833334</v>
      </c>
      <c r="E165" s="2">
        <v>1</v>
      </c>
      <c r="F165" s="2">
        <v>1</v>
      </c>
      <c r="G165" s="2">
        <v>1</v>
      </c>
      <c r="H165" s="1">
        <v>46065.419768518521</v>
      </c>
      <c r="I165" s="2">
        <v>2</v>
      </c>
      <c r="J165" s="1">
        <v>46065.415416666663</v>
      </c>
    </row>
    <row r="166" spans="1:10" x14ac:dyDescent="0.2">
      <c r="A166" s="4" t="s">
        <v>0</v>
      </c>
      <c r="B166" s="3" t="str">
        <f>HYPERLINK("https://otsuka-europe-crm.veevavault.com/ui/#object/approved_document__v/V5O00000000K004", "Austria - Consent Email - Aug25 v2")</f>
        <v>Austria - Consent Email - Aug25 v2</v>
      </c>
      <c r="C166" s="3" t="str">
        <f>HYPERLINK("https://otsuka-europe-crm.veevavault.com/ui/#object/sent_email__v/VBL00000001C472", "SE-001403883")</f>
        <v>SE-001403883</v>
      </c>
      <c r="D166" s="1">
        <v>46065.455289351848</v>
      </c>
      <c r="E166" s="2">
        <v>1</v>
      </c>
      <c r="F166" s="2">
        <v>1</v>
      </c>
      <c r="G166" s="2">
        <v>1</v>
      </c>
      <c r="H166" s="1">
        <v>46065.455682870372</v>
      </c>
      <c r="I166" s="2">
        <v>2</v>
      </c>
      <c r="J166" s="1">
        <v>46065.453356481485</v>
      </c>
    </row>
    <row r="167" spans="1:10" x14ac:dyDescent="0.2">
      <c r="A167" s="4" t="s">
        <v>0</v>
      </c>
      <c r="B167" s="3" t="str">
        <f>HYPERLINK("https://otsuka-europe-crm.veevavault.com/ui/#object/approved_document__v/V5O00000000K004", "Austria - Consent Email - Aug25 v2")</f>
        <v>Austria - Consent Email - Aug25 v2</v>
      </c>
      <c r="C167" s="3" t="str">
        <f>HYPERLINK("https://otsuka-europe-crm.veevavault.com/ui/#object/sent_email__v/VBL00000001C478", "SE-001403903")</f>
        <v>SE-001403903</v>
      </c>
      <c r="D167" s="1">
        <v>46065.466249999998</v>
      </c>
      <c r="E167" s="2">
        <v>1</v>
      </c>
      <c r="F167" s="2">
        <v>1</v>
      </c>
      <c r="G167" s="2">
        <v>1</v>
      </c>
      <c r="H167" s="1">
        <v>46065.466249999998</v>
      </c>
      <c r="I167" s="2">
        <v>1</v>
      </c>
      <c r="J167" s="1">
        <v>46065.456921296296</v>
      </c>
    </row>
    <row r="168" spans="1:10" x14ac:dyDescent="0.2">
      <c r="A168" s="4" t="s">
        <v>0</v>
      </c>
      <c r="B168" s="3" t="str">
        <f>HYPERLINK("https://otsuka-europe-crm.veevavault.com/ui/#object/approved_document__v/V5O00000000K004", "Austria - Consent Email - Aug25 v2")</f>
        <v>Austria - Consent Email - Aug25 v2</v>
      </c>
      <c r="C168" s="3" t="str">
        <f>HYPERLINK("https://otsuka-europe-crm.veevavault.com/ui/#object/sent_email__v/VBL00000001B563", "SE-001403934")</f>
        <v>SE-001403934</v>
      </c>
      <c r="D168" s="1" t="s">
        <v>1</v>
      </c>
      <c r="E168" s="2">
        <v>0</v>
      </c>
      <c r="F168" s="2">
        <v>0</v>
      </c>
      <c r="G168" s="2">
        <v>0</v>
      </c>
      <c r="H168" s="1" t="s">
        <v>1</v>
      </c>
      <c r="I168" s="2">
        <v>0</v>
      </c>
      <c r="J168" s="1">
        <v>46065.52244212963</v>
      </c>
    </row>
    <row r="169" spans="1:10" x14ac:dyDescent="0.2">
      <c r="A169" s="4" t="s">
        <v>0</v>
      </c>
      <c r="B169" s="3" t="str">
        <f>HYPERLINK("https://otsuka-europe-crm.veevavault.com/ui/#object/approved_document__v/V5O00000000K004", "Austria - Consent Email - Aug25 v2")</f>
        <v>Austria - Consent Email - Aug25 v2</v>
      </c>
      <c r="C169" s="3" t="str">
        <f>HYPERLINK("https://otsuka-europe-crm.veevavault.com/ui/#object/sent_email__v/VBL00000001E006", "SE-001403980")</f>
        <v>SE-001403980</v>
      </c>
      <c r="D169" s="1">
        <v>46066.361562500002</v>
      </c>
      <c r="E169" s="2">
        <v>1</v>
      </c>
      <c r="F169" s="2">
        <v>1</v>
      </c>
      <c r="G169" s="2">
        <v>1</v>
      </c>
      <c r="H169" s="1">
        <v>46066.361562500002</v>
      </c>
      <c r="I169" s="2">
        <v>1</v>
      </c>
      <c r="J169" s="1">
        <v>46066.355034722219</v>
      </c>
    </row>
    <row r="170" spans="1:10" x14ac:dyDescent="0.2">
      <c r="A170" s="4" t="s">
        <v>0</v>
      </c>
      <c r="B170" s="3" t="str">
        <f>HYPERLINK("https://otsuka-europe-crm.veevavault.com/ui/#object/approved_document__v/V5O00000000K004", "Austria - Consent Email - Aug25 v2")</f>
        <v>Austria - Consent Email - Aug25 v2</v>
      </c>
      <c r="C170" s="3" t="str">
        <f>HYPERLINK("https://otsuka-europe-crm.veevavault.com/ui/#object/sent_email__v/VBL00000001D005", "SE-001403983")</f>
        <v>SE-001403983</v>
      </c>
      <c r="D170" s="1" t="s">
        <v>1</v>
      </c>
      <c r="E170" s="2">
        <v>0</v>
      </c>
      <c r="F170" s="2">
        <v>0</v>
      </c>
      <c r="G170" s="2">
        <v>0</v>
      </c>
      <c r="H170" s="1" t="s">
        <v>1</v>
      </c>
      <c r="I170" s="2">
        <v>0</v>
      </c>
      <c r="J170" s="1">
        <v>46066.366759259261</v>
      </c>
    </row>
    <row r="171" spans="1:10" x14ac:dyDescent="0.2">
      <c r="A171" s="4" t="s">
        <v>0</v>
      </c>
      <c r="B171" s="3" t="str">
        <f>HYPERLINK("https://otsuka-europe-crm.veevavault.com/ui/#object/approved_document__v/V5O00000000K004", "Austria - Consent Email - Aug25 v2")</f>
        <v>Austria - Consent Email - Aug25 v2</v>
      </c>
      <c r="C171" s="3" t="str">
        <f>HYPERLINK("https://otsuka-europe-crm.veevavault.com/ui/#object/sent_email__v/VBL00000001E351", "SE-001404498")</f>
        <v>SE-001404498</v>
      </c>
      <c r="D171" s="1" t="s">
        <v>1</v>
      </c>
      <c r="E171" s="2">
        <v>0</v>
      </c>
      <c r="F171" s="2">
        <v>0</v>
      </c>
      <c r="G171" s="2">
        <v>0</v>
      </c>
      <c r="H171" s="1" t="s">
        <v>1</v>
      </c>
      <c r="I171" s="2">
        <v>0</v>
      </c>
      <c r="J171" s="1">
        <v>46071.433599537035</v>
      </c>
    </row>
    <row r="172" spans="1:10" x14ac:dyDescent="0.2">
      <c r="A172" s="4" t="s">
        <v>0</v>
      </c>
      <c r="B172" s="3" t="str">
        <f>HYPERLINK("https://otsuka-europe-crm.veevavault.com/ui/#object/approved_document__v/V5O00000000K004", "Austria - Consent Email - Aug25 v2")</f>
        <v>Austria - Consent Email - Aug25 v2</v>
      </c>
      <c r="C172" s="3" t="str">
        <f>HYPERLINK("https://otsuka-europe-crm.veevavault.com/ui/#object/sent_email__v/VBL00000001D204", "SE-001404500")</f>
        <v>SE-001404500</v>
      </c>
      <c r="D172" s="1">
        <v>46071.481932870367</v>
      </c>
      <c r="E172" s="2">
        <v>1</v>
      </c>
      <c r="F172" s="2">
        <v>1</v>
      </c>
      <c r="G172" s="2">
        <v>1</v>
      </c>
      <c r="H172" s="1">
        <v>46071.481932870367</v>
      </c>
      <c r="I172" s="2">
        <v>1</v>
      </c>
      <c r="J172" s="1">
        <v>46071.438078703701</v>
      </c>
    </row>
    <row r="173" spans="1:10" x14ac:dyDescent="0.2">
      <c r="A173" s="4" t="s">
        <v>0</v>
      </c>
      <c r="B173" s="3" t="str">
        <f>HYPERLINK("https://otsuka-europe-crm.veevavault.com/ui/#object/approved_document__v/V5O00000000K004", "Austria - Consent Email - Aug25 v2")</f>
        <v>Austria - Consent Email - Aug25 v2</v>
      </c>
      <c r="C173" s="3" t="str">
        <f>HYPERLINK("https://otsuka-europe-crm.veevavault.com/ui/#object/sent_email__v/VBL00000001E501", "SE-001405121")</f>
        <v>SE-001405121</v>
      </c>
      <c r="D173" s="1">
        <v>46072.617546296293</v>
      </c>
      <c r="E173" s="2">
        <v>1</v>
      </c>
      <c r="F173" s="2">
        <v>2</v>
      </c>
      <c r="G173" s="2">
        <v>1</v>
      </c>
      <c r="H173" s="1">
        <v>46072.617546296293</v>
      </c>
      <c r="I173" s="2">
        <v>2</v>
      </c>
      <c r="J173" s="1">
        <v>46072.580891203703</v>
      </c>
    </row>
    <row r="174" spans="1:10" x14ac:dyDescent="0.2">
      <c r="A174" s="4" t="s">
        <v>0</v>
      </c>
      <c r="B174" s="3" t="str">
        <f>HYPERLINK("https://otsuka-europe-crm.veevavault.com/ui/#object/approved_document__v/V5O00000000K004", "Austria - Consent Email - Aug25 v2")</f>
        <v>Austria - Consent Email - Aug25 v2</v>
      </c>
      <c r="C174" s="3" t="str">
        <f>HYPERLINK("https://otsuka-europe-crm.veevavault.com/ui/#object/sent_email__v/VBL00000001F031", "SE-001405416")</f>
        <v>SE-001405416</v>
      </c>
      <c r="D174" s="1">
        <v>46074.437743055554</v>
      </c>
      <c r="E174" s="2">
        <v>1</v>
      </c>
      <c r="F174" s="2">
        <v>1</v>
      </c>
      <c r="G174" s="2">
        <v>1</v>
      </c>
      <c r="H174" s="1">
        <v>46074.437743055554</v>
      </c>
      <c r="I174" s="2">
        <v>1</v>
      </c>
      <c r="J174" s="1">
        <v>46073.533182870371</v>
      </c>
    </row>
    <row r="175" spans="1:10" x14ac:dyDescent="0.2">
      <c r="A175" s="4" t="s">
        <v>0</v>
      </c>
      <c r="B175" s="3" t="str">
        <f>HYPERLINK("https://otsuka-europe-crm.veevavault.com/ui/#object/approved_document__v/V5O00000000K004", "Austria - Consent Email - Aug25 v2")</f>
        <v>Austria - Consent Email - Aug25 v2</v>
      </c>
      <c r="C175" s="3" t="str">
        <f>HYPERLINK("https://otsuka-europe-crm.veevavault.com/ui/#object/sent_email__v/VBL00000001F103", "SE-001405549")</f>
        <v>SE-001405549</v>
      </c>
      <c r="D175" s="1" t="s">
        <v>1</v>
      </c>
      <c r="E175" s="2">
        <v>0</v>
      </c>
      <c r="F175" s="2">
        <v>0</v>
      </c>
      <c r="G175" s="2">
        <v>0</v>
      </c>
      <c r="H175" s="1" t="s">
        <v>1</v>
      </c>
      <c r="I175" s="2">
        <v>0</v>
      </c>
      <c r="J175" s="1">
        <v>46076.389513888891</v>
      </c>
    </row>
    <row r="176" spans="1:10" x14ac:dyDescent="0.2">
      <c r="A176" s="4" t="s">
        <v>0</v>
      </c>
      <c r="B176" s="3" t="str">
        <f>HYPERLINK("https://otsuka-europe-crm.veevavault.com/ui/#object/approved_document__v/V5O00000000K004", "Austria - Consent Email - Aug25 v2")</f>
        <v>Austria - Consent Email - Aug25 v2</v>
      </c>
      <c r="C176" s="3" t="str">
        <f>HYPERLINK("https://otsuka-europe-crm.veevavault.com/ui/#object/sent_email__v/VBL00000001G522", "SE-001406019")</f>
        <v>SE-001406019</v>
      </c>
      <c r="D176" s="1">
        <v>46077.69091435185</v>
      </c>
      <c r="E176" s="2">
        <v>1</v>
      </c>
      <c r="F176" s="2">
        <v>2</v>
      </c>
      <c r="G176" s="2">
        <v>1</v>
      </c>
      <c r="H176" s="1">
        <v>46077.69091435185</v>
      </c>
      <c r="I176" s="2">
        <v>1</v>
      </c>
      <c r="J176" s="1">
        <v>46077.604826388888</v>
      </c>
    </row>
    <row r="177" spans="1:10" x14ac:dyDescent="0.2">
      <c r="A177" s="4" t="s">
        <v>0</v>
      </c>
      <c r="B177" s="3" t="str">
        <f>HYPERLINK("https://otsuka-europe-crm.veevavault.com/ui/#object/approved_document__v/V5O00000000K004", "Austria - Consent Email - Aug25 v2")</f>
        <v>Austria - Consent Email - Aug25 v2</v>
      </c>
      <c r="C177" s="3" t="str">
        <f>HYPERLINK("https://otsuka-europe-crm.veevavault.com/ui/#object/sent_email__v/VBL00000001G524", "SE-001406026")</f>
        <v>SE-001406026</v>
      </c>
      <c r="D177" s="1" t="s">
        <v>1</v>
      </c>
      <c r="E177" s="2">
        <v>0</v>
      </c>
      <c r="F177" s="2">
        <v>0</v>
      </c>
      <c r="G177" s="2">
        <v>0</v>
      </c>
      <c r="H177" s="1" t="s">
        <v>1</v>
      </c>
      <c r="I177" s="2">
        <v>0</v>
      </c>
      <c r="J177" s="1">
        <v>46077.616932870369</v>
      </c>
    </row>
    <row r="178" spans="1:10" x14ac:dyDescent="0.2">
      <c r="A178" s="4" t="s">
        <v>0</v>
      </c>
      <c r="B178" s="3" t="str">
        <f>HYPERLINK("https://otsuka-europe-crm.veevavault.com/ui/#object/approved_document__v/V5OZ025E82TZ6JH", "DACH (AT) HCP NPS Survey VAE 2025")</f>
        <v>DACH (AT) HCP NPS Survey VAE 2025</v>
      </c>
      <c r="C178" s="3" t="str">
        <f>HYPERLINK("https://otsuka-europe-crm.veevavault.com/ui/#object/sent_email__v/VBLZ025E82H0YFP", "SE-000280945")</f>
        <v>SE-000280945</v>
      </c>
      <c r="D178" s="1">
        <v>45926.26898148148</v>
      </c>
      <c r="E178" s="2">
        <v>1</v>
      </c>
      <c r="F178" s="2">
        <v>1</v>
      </c>
      <c r="G178" s="2">
        <v>1</v>
      </c>
      <c r="H178" s="1">
        <v>45926.26898148148</v>
      </c>
      <c r="I178" s="2">
        <v>1</v>
      </c>
      <c r="J178" s="1">
        <v>45926.268009259256</v>
      </c>
    </row>
    <row r="179" spans="1:10" x14ac:dyDescent="0.2">
      <c r="A179" s="4" t="s">
        <v>0</v>
      </c>
      <c r="B179" s="3" t="str">
        <f>HYPERLINK("https://otsuka-europe-crm.veevavault.com/ui/#object/approved_document__v/V5OZ025E82TZ6JH", "DACH (AT) HCP NPS Survey VAE 2025")</f>
        <v>DACH (AT) HCP NPS Survey VAE 2025</v>
      </c>
      <c r="C179" s="3" t="str">
        <f>HYPERLINK("https://otsuka-europe-crm.veevavault.com/ui/#object/sent_email__v/VBLZ025E82H0YIH", "SE-000280946")</f>
        <v>SE-000280946</v>
      </c>
      <c r="D179" s="1" t="s">
        <v>1</v>
      </c>
      <c r="E179" s="2">
        <v>0</v>
      </c>
      <c r="F179" s="2">
        <v>0</v>
      </c>
      <c r="G179" s="2">
        <v>0</v>
      </c>
      <c r="H179" s="1" t="s">
        <v>1</v>
      </c>
      <c r="I179" s="2">
        <v>0</v>
      </c>
      <c r="J179" s="1">
        <v>45926.269224537034</v>
      </c>
    </row>
    <row r="180" spans="1:10" x14ac:dyDescent="0.2">
      <c r="A180" s="4" t="s">
        <v>0</v>
      </c>
      <c r="B180" s="3" t="str">
        <f>HYPERLINK("https://otsuka-europe-crm.veevavault.com/ui/#object/approved_document__v/V5OZ025E82TZ6JH", "DACH (AT) HCP NPS Survey VAE 2025")</f>
        <v>DACH (AT) HCP NPS Survey VAE 2025</v>
      </c>
      <c r="C180" s="3" t="str">
        <f>HYPERLINK("https://otsuka-europe-crm.veevavault.com/ui/#object/sent_email__v/VBLZ025E82H8961", "SE-000283025")</f>
        <v>SE-000283025</v>
      </c>
      <c r="D180" s="1" t="s">
        <v>1</v>
      </c>
      <c r="E180" s="2">
        <v>0</v>
      </c>
      <c r="F180" s="2">
        <v>0</v>
      </c>
      <c r="G180" s="2">
        <v>0</v>
      </c>
      <c r="H180" s="1" t="s">
        <v>1</v>
      </c>
      <c r="I180" s="2">
        <v>0</v>
      </c>
      <c r="J180" s="1">
        <v>45932.595277777778</v>
      </c>
    </row>
    <row r="181" spans="1:10" x14ac:dyDescent="0.2">
      <c r="A181" s="4" t="s">
        <v>0</v>
      </c>
      <c r="B181" s="3" t="str">
        <f>HYPERLINK("https://otsuka-europe-crm.veevavault.com/ui/#object/approved_document__v/V5OZ025E82TZ6JH", "DACH (AT) HCP NPS Survey VAE 2025")</f>
        <v>DACH (AT) HCP NPS Survey VAE 2025</v>
      </c>
      <c r="C181" s="3" t="str">
        <f>HYPERLINK("https://otsuka-europe-crm.veevavault.com/ui/#object/sent_email__v/VBLZ025E82H8YBL", "SE-000283045")</f>
        <v>SE-000283045</v>
      </c>
      <c r="D181" s="1" t="s">
        <v>1</v>
      </c>
      <c r="E181" s="2">
        <v>0</v>
      </c>
      <c r="F181" s="2">
        <v>0</v>
      </c>
      <c r="G181" s="2">
        <v>0</v>
      </c>
      <c r="H181" s="1" t="s">
        <v>1</v>
      </c>
      <c r="I181" s="2">
        <v>0</v>
      </c>
      <c r="J181" s="1">
        <v>45933.315752314818</v>
      </c>
    </row>
    <row r="182" spans="1:10" x14ac:dyDescent="0.2">
      <c r="A182" s="4" t="s">
        <v>0</v>
      </c>
      <c r="B182" s="3" t="str">
        <f>HYPERLINK("https://otsuka-europe-crm.veevavault.com/ui/#object/approved_document__v/V5OZ025E82TZ6JH", "DACH (AT) HCP NPS Survey VAE 2025")</f>
        <v>DACH (AT) HCP NPS Survey VAE 2025</v>
      </c>
      <c r="C182" s="3" t="str">
        <f>HYPERLINK("https://otsuka-europe-crm.veevavault.com/ui/#object/sent_email__v/VBLZ025E82H8YED", "SE-000283046")</f>
        <v>SE-000283046</v>
      </c>
      <c r="D182" s="1" t="s">
        <v>1</v>
      </c>
      <c r="E182" s="2">
        <v>0</v>
      </c>
      <c r="F182" s="2">
        <v>0</v>
      </c>
      <c r="G182" s="2">
        <v>0</v>
      </c>
      <c r="H182" s="1" t="s">
        <v>1</v>
      </c>
      <c r="I182" s="2">
        <v>0</v>
      </c>
      <c r="J182" s="1">
        <v>45933.317303240743</v>
      </c>
    </row>
    <row r="183" spans="1:10" x14ac:dyDescent="0.2">
      <c r="A183" s="4" t="s">
        <v>0</v>
      </c>
      <c r="B183" s="3" t="str">
        <f>HYPERLINK("https://otsuka-europe-crm.veevavault.com/ui/#object/approved_document__v/V5OZ025E82TZ6JH", "DACH (AT) HCP NPS Survey VAE 2025")</f>
        <v>DACH (AT) HCP NPS Survey VAE 2025</v>
      </c>
      <c r="C183" s="3" t="str">
        <f>HYPERLINK("https://otsuka-europe-crm.veevavault.com/ui/#object/sent_email__v/VBLZ025E82H8YH5", "SE-000283047")</f>
        <v>SE-000283047</v>
      </c>
      <c r="D183" s="1" t="s">
        <v>1</v>
      </c>
      <c r="E183" s="2">
        <v>0</v>
      </c>
      <c r="F183" s="2">
        <v>0</v>
      </c>
      <c r="G183" s="2">
        <v>0</v>
      </c>
      <c r="H183" s="1" t="s">
        <v>1</v>
      </c>
      <c r="I183" s="2">
        <v>0</v>
      </c>
      <c r="J183" s="1">
        <v>45933.318298611113</v>
      </c>
    </row>
    <row r="184" spans="1:10" x14ac:dyDescent="0.2">
      <c r="A184" s="4" t="s">
        <v>0</v>
      </c>
      <c r="B184" s="3" t="str">
        <f>HYPERLINK("https://otsuka-europe-crm.veevavault.com/ui/#object/approved_document__v/V5OZ025E82TZ6JH", "DACH (AT) HCP NPS Survey VAE 2025")</f>
        <v>DACH (AT) HCP NPS Survey VAE 2025</v>
      </c>
      <c r="C184" s="3" t="str">
        <f>HYPERLINK("https://otsuka-europe-crm.veevavault.com/ui/#object/sent_email__v/VBLZ025E82H8YJX", "SE-000283048")</f>
        <v>SE-000283048</v>
      </c>
      <c r="D184" s="1" t="s">
        <v>1</v>
      </c>
      <c r="E184" s="2">
        <v>0</v>
      </c>
      <c r="F184" s="2">
        <v>0</v>
      </c>
      <c r="G184" s="2">
        <v>0</v>
      </c>
      <c r="H184" s="1" t="s">
        <v>1</v>
      </c>
      <c r="I184" s="2">
        <v>0</v>
      </c>
      <c r="J184" s="1">
        <v>45933.318958333337</v>
      </c>
    </row>
    <row r="185" spans="1:10" x14ac:dyDescent="0.2">
      <c r="A185" s="4" t="s">
        <v>0</v>
      </c>
      <c r="B185" s="3" t="str">
        <f>HYPERLINK("https://otsuka-europe-crm.veevavault.com/ui/#object/approved_document__v/V5OZ025E82TZ6JH", "DACH (AT) HCP NPS Survey VAE 2025")</f>
        <v>DACH (AT) HCP NPS Survey VAE 2025</v>
      </c>
      <c r="C185" s="3" t="str">
        <f>HYPERLINK("https://otsuka-europe-crm.veevavault.com/ui/#object/sent_email__v/VBLZ025E82H8YMP", "SE-000283049")</f>
        <v>SE-000283049</v>
      </c>
      <c r="D185" s="1" t="s">
        <v>1</v>
      </c>
      <c r="E185" s="2">
        <v>0</v>
      </c>
      <c r="F185" s="2">
        <v>0</v>
      </c>
      <c r="G185" s="2">
        <v>0</v>
      </c>
      <c r="H185" s="1" t="s">
        <v>1</v>
      </c>
      <c r="I185" s="2">
        <v>0</v>
      </c>
      <c r="J185" s="1">
        <v>45933.319745370369</v>
      </c>
    </row>
    <row r="186" spans="1:10" x14ac:dyDescent="0.2">
      <c r="A186" s="4" t="s">
        <v>0</v>
      </c>
      <c r="B186" s="3" t="str">
        <f>HYPERLINK("https://otsuka-europe-crm.veevavault.com/ui/#object/approved_document__v/V5OZ025E82TZ6JH", "DACH (AT) HCP NPS Survey VAE 2025")</f>
        <v>DACH (AT) HCP NPS Survey VAE 2025</v>
      </c>
      <c r="C186" s="3" t="str">
        <f>HYPERLINK("https://otsuka-europe-crm.veevavault.com/ui/#object/sent_email__v/VBLZ025E82H8YPH", "SE-000283050")</f>
        <v>SE-000283050</v>
      </c>
      <c r="D186" s="1">
        <v>45933.371435185189</v>
      </c>
      <c r="E186" s="2">
        <v>1</v>
      </c>
      <c r="F186" s="2">
        <v>1</v>
      </c>
      <c r="G186" s="2">
        <v>0</v>
      </c>
      <c r="H186" s="1" t="s">
        <v>1</v>
      </c>
      <c r="I186" s="2">
        <v>0</v>
      </c>
      <c r="J186" s="1">
        <v>45933.320497685185</v>
      </c>
    </row>
    <row r="187" spans="1:10" x14ac:dyDescent="0.2">
      <c r="A187" s="4" t="s">
        <v>0</v>
      </c>
      <c r="B187" s="3" t="str">
        <f>HYPERLINK("https://otsuka-europe-crm.veevavault.com/ui/#object/approved_document__v/V5OZ025E82TZ6JH", "DACH (AT) HCP NPS Survey VAE 2025")</f>
        <v>DACH (AT) HCP NPS Survey VAE 2025</v>
      </c>
      <c r="C187" s="3" t="str">
        <f>HYPERLINK("https://otsuka-europe-crm.veevavault.com/ui/#object/sent_email__v/VBLZ025E82H8YS9", "SE-000283051")</f>
        <v>SE-000283051</v>
      </c>
      <c r="D187" s="1">
        <v>45933.592962962961</v>
      </c>
      <c r="E187" s="2">
        <v>1</v>
      </c>
      <c r="F187" s="2">
        <v>2</v>
      </c>
      <c r="G187" s="2">
        <v>0</v>
      </c>
      <c r="H187" s="1" t="s">
        <v>1</v>
      </c>
      <c r="I187" s="2">
        <v>0</v>
      </c>
      <c r="J187" s="1">
        <v>45933.320937500001</v>
      </c>
    </row>
    <row r="188" spans="1:10" x14ac:dyDescent="0.2">
      <c r="A188" s="4" t="s">
        <v>0</v>
      </c>
      <c r="B188" s="3" t="str">
        <f>HYPERLINK("https://otsuka-europe-crm.veevavault.com/ui/#object/approved_document__v/V5OZ025E82TZ6JH", "DACH (AT) HCP NPS Survey VAE 2025")</f>
        <v>DACH (AT) HCP NPS Survey VAE 2025</v>
      </c>
      <c r="C188" s="3" t="str">
        <f>HYPERLINK("https://otsuka-europe-crm.veevavault.com/ui/#object/sent_email__v/VBLZ025E82H8YV1", "SE-000283052")</f>
        <v>SE-000283052</v>
      </c>
      <c r="D188" s="1" t="s">
        <v>1</v>
      </c>
      <c r="E188" s="2">
        <v>0</v>
      </c>
      <c r="F188" s="2">
        <v>0</v>
      </c>
      <c r="G188" s="2">
        <v>0</v>
      </c>
      <c r="H188" s="1" t="s">
        <v>1</v>
      </c>
      <c r="I188" s="2">
        <v>0</v>
      </c>
      <c r="J188" s="1">
        <v>45933.321875000001</v>
      </c>
    </row>
    <row r="189" spans="1:10" x14ac:dyDescent="0.2">
      <c r="A189" s="4" t="s">
        <v>0</v>
      </c>
      <c r="B189" s="3" t="str">
        <f>HYPERLINK("https://otsuka-europe-crm.veevavault.com/ui/#object/approved_document__v/V5OZ025E82TZ6JH", "DACH (AT) HCP NPS Survey VAE 2025")</f>
        <v>DACH (AT) HCP NPS Survey VAE 2025</v>
      </c>
      <c r="C189" s="3" t="str">
        <f>HYPERLINK("https://otsuka-europe-crm.veevavault.com/ui/#object/sent_email__v/VBLZ025E82H8Z0L", "SE-000283053")</f>
        <v>SE-000283053</v>
      </c>
      <c r="D189" s="1" t="s">
        <v>1</v>
      </c>
      <c r="E189" s="2">
        <v>0</v>
      </c>
      <c r="F189" s="2">
        <v>0</v>
      </c>
      <c r="G189" s="2">
        <v>0</v>
      </c>
      <c r="H189" s="1" t="s">
        <v>1</v>
      </c>
      <c r="I189" s="2">
        <v>0</v>
      </c>
      <c r="J189" s="1">
        <v>45933.328622685185</v>
      </c>
    </row>
    <row r="190" spans="1:10" x14ac:dyDescent="0.2">
      <c r="A190" s="4" t="s">
        <v>0</v>
      </c>
      <c r="B190" s="3" t="str">
        <f>HYPERLINK("https://otsuka-europe-crm.veevavault.com/ui/#object/approved_document__v/V5OZ025E82TZ6JH", "DACH (AT) HCP NPS Survey VAE 2025")</f>
        <v>DACH (AT) HCP NPS Survey VAE 2025</v>
      </c>
      <c r="C190" s="3" t="str">
        <f>HYPERLINK("https://otsuka-europe-crm.veevavault.com/ui/#object/sent_email__v/VBLZ025E82H8Z3D", "SE-000283054")</f>
        <v>SE-000283054</v>
      </c>
      <c r="D190" s="1" t="s">
        <v>1</v>
      </c>
      <c r="E190" s="2">
        <v>0</v>
      </c>
      <c r="F190" s="2">
        <v>0</v>
      </c>
      <c r="G190" s="2">
        <v>0</v>
      </c>
      <c r="H190" s="1" t="s">
        <v>1</v>
      </c>
      <c r="I190" s="2">
        <v>0</v>
      </c>
      <c r="J190" s="1">
        <v>45933.328993055555</v>
      </c>
    </row>
    <row r="191" spans="1:10" x14ac:dyDescent="0.2">
      <c r="A191" s="4" t="s">
        <v>0</v>
      </c>
      <c r="B191" s="3" t="str">
        <f>HYPERLINK("https://otsuka-europe-crm.veevavault.com/ui/#object/approved_document__v/V5OZ025E82TZ6JH", "DACH (AT) HCP NPS Survey VAE 2025")</f>
        <v>DACH (AT) HCP NPS Survey VAE 2025</v>
      </c>
      <c r="C191" s="3" t="str">
        <f>HYPERLINK("https://otsuka-europe-crm.veevavault.com/ui/#object/sent_email__v/VBLZ025E82H8Z65", "SE-000283055")</f>
        <v>SE-000283055</v>
      </c>
      <c r="D191" s="1">
        <v>45933.371782407405</v>
      </c>
      <c r="E191" s="2">
        <v>1</v>
      </c>
      <c r="F191" s="2">
        <v>1</v>
      </c>
      <c r="G191" s="2">
        <v>0</v>
      </c>
      <c r="H191" s="1" t="s">
        <v>1</v>
      </c>
      <c r="I191" s="2">
        <v>0</v>
      </c>
      <c r="J191" s="1">
        <v>45933.329467592594</v>
      </c>
    </row>
    <row r="192" spans="1:10" x14ac:dyDescent="0.2">
      <c r="A192" s="4" t="s">
        <v>0</v>
      </c>
      <c r="B192" s="3" t="str">
        <f>HYPERLINK("https://otsuka-europe-crm.veevavault.com/ui/#object/approved_document__v/V5OZ025E82TZ6JH", "DACH (AT) HCP NPS Survey VAE 2025")</f>
        <v>DACH (AT) HCP NPS Survey VAE 2025</v>
      </c>
      <c r="C192" s="3" t="str">
        <f>HYPERLINK("https://otsuka-europe-crm.veevavault.com/ui/#object/sent_email__v/VBLZ025E82H8Z8X", "SE-000283056")</f>
        <v>SE-000283056</v>
      </c>
      <c r="D192" s="1">
        <v>45933.592962962961</v>
      </c>
      <c r="E192" s="2">
        <v>1</v>
      </c>
      <c r="F192" s="2">
        <v>2</v>
      </c>
      <c r="G192" s="2">
        <v>0</v>
      </c>
      <c r="H192" s="1" t="s">
        <v>1</v>
      </c>
      <c r="I192" s="2">
        <v>0</v>
      </c>
      <c r="J192" s="1">
        <v>45933.329837962963</v>
      </c>
    </row>
    <row r="193" spans="1:14" x14ac:dyDescent="0.2">
      <c r="A193" s="4" t="s">
        <v>0</v>
      </c>
      <c r="B193" s="3" t="str">
        <f>HYPERLINK("https://otsuka-europe-crm.veevavault.com/ui/#object/approved_document__v/V5OZ025E82TZ6JH", "DACH (AT) HCP NPS Survey VAE 2025")</f>
        <v>DACH (AT) HCP NPS Survey VAE 2025</v>
      </c>
      <c r="C193" s="3" t="str">
        <f>HYPERLINK("https://otsuka-europe-crm.veevavault.com/ui/#object/sent_email__v/VBLZ025E82H8ZBP", "SE-000283057")</f>
        <v>SE-000283057</v>
      </c>
      <c r="D193" s="1" t="s">
        <v>1</v>
      </c>
      <c r="E193" s="2">
        <v>0</v>
      </c>
      <c r="F193" s="2">
        <v>0</v>
      </c>
      <c r="G193" s="2">
        <v>0</v>
      </c>
      <c r="H193" s="1" t="s">
        <v>1</v>
      </c>
      <c r="I193" s="2">
        <v>0</v>
      </c>
      <c r="J193" s="1">
        <v>45933.330393518518</v>
      </c>
    </row>
    <row r="194" spans="1:14" x14ac:dyDescent="0.2">
      <c r="A194" s="4" t="s">
        <v>0</v>
      </c>
      <c r="B194" s="3" t="str">
        <f>HYPERLINK("https://otsuka-europe-crm.veevavault.com/ui/#object/approved_document__v/V5OZ025E82TZ6JH", "DACH (AT) HCP NPS Survey VAE 2025")</f>
        <v>DACH (AT) HCP NPS Survey VAE 2025</v>
      </c>
      <c r="C194" s="3" t="str">
        <f>HYPERLINK("https://otsuka-europe-crm.veevavault.com/ui/#object/sent_email__v/VBLZ025E82H8ZEH", "SE-000283058")</f>
        <v>SE-000283058</v>
      </c>
      <c r="D194" s="1" t="s">
        <v>1</v>
      </c>
      <c r="E194" s="2">
        <v>0</v>
      </c>
      <c r="F194" s="2">
        <v>0</v>
      </c>
      <c r="G194" s="2">
        <v>0</v>
      </c>
      <c r="H194" s="1" t="s">
        <v>1</v>
      </c>
      <c r="I194" s="2">
        <v>0</v>
      </c>
      <c r="J194" s="1">
        <v>45933.330879629626</v>
      </c>
    </row>
    <row r="195" spans="1:14" x14ac:dyDescent="0.2">
      <c r="A195" s="4" t="s">
        <v>0</v>
      </c>
      <c r="B195" s="3" t="str">
        <f>HYPERLINK("https://otsuka-europe-crm.veevavault.com/ui/#object/approved_document__v/V5OZ025E82TZ6JH", "DACH (AT) HCP NPS Survey VAE 2025")</f>
        <v>DACH (AT) HCP NPS Survey VAE 2025</v>
      </c>
      <c r="C195" s="3" t="str">
        <f>HYPERLINK("https://otsuka-europe-crm.veevavault.com/ui/#object/sent_email__v/VBLZ025E82H8ZK1", "SE-000283062")</f>
        <v>SE-000283062</v>
      </c>
      <c r="D195" s="1" t="s">
        <v>1</v>
      </c>
      <c r="E195" s="2">
        <v>0</v>
      </c>
      <c r="F195" s="2">
        <v>0</v>
      </c>
      <c r="G195" s="2">
        <v>0</v>
      </c>
      <c r="H195" s="1" t="s">
        <v>1</v>
      </c>
      <c r="I195" s="2">
        <v>0</v>
      </c>
      <c r="J195" s="1">
        <v>45933.331504629627</v>
      </c>
    </row>
    <row r="196" spans="1:14" x14ac:dyDescent="0.2">
      <c r="A196" s="4" t="s">
        <v>0</v>
      </c>
      <c r="B196" s="3" t="str">
        <f>HYPERLINK("https://otsuka-europe-crm.veevavault.com/ui/#object/approved_document__v/V5OZ025E82TZ6JH", "DACH (AT) HCP NPS Survey VAE 2025")</f>
        <v>DACH (AT) HCP NPS Survey VAE 2025</v>
      </c>
      <c r="C196" s="3" t="str">
        <f>HYPERLINK("https://otsuka-europe-crm.veevavault.com/ui/#object/sent_email__v/VBLZ025E82H8ZMT", "SE-000283063")</f>
        <v>SE-000283063</v>
      </c>
      <c r="D196" s="1" t="s">
        <v>1</v>
      </c>
      <c r="E196" s="2">
        <v>0</v>
      </c>
      <c r="F196" s="2">
        <v>0</v>
      </c>
      <c r="G196" s="2">
        <v>0</v>
      </c>
      <c r="H196" s="1" t="s">
        <v>1</v>
      </c>
      <c r="I196" s="2">
        <v>0</v>
      </c>
      <c r="J196" s="1">
        <v>45933.332013888888</v>
      </c>
    </row>
    <row r="197" spans="1:14" x14ac:dyDescent="0.2">
      <c r="A197" s="4" t="s">
        <v>0</v>
      </c>
      <c r="B197" s="3" t="str">
        <f>HYPERLINK("https://otsuka-europe-crm.veevavault.com/ui/#object/approved_document__v/V5OZ025E82TZ6JH", "DACH (AT) HCP NPS Survey VAE 2025")</f>
        <v>DACH (AT) HCP NPS Survey VAE 2025</v>
      </c>
      <c r="C197" s="3" t="str">
        <f>HYPERLINK("https://otsuka-europe-crm.veevavault.com/ui/#object/sent_email__v/VBLZ025E82H8ZSD", "SE-000283065")</f>
        <v>SE-000283065</v>
      </c>
      <c r="D197" s="1" t="s">
        <v>1</v>
      </c>
      <c r="E197" s="2">
        <v>0</v>
      </c>
      <c r="F197" s="2">
        <v>0</v>
      </c>
      <c r="G197" s="2">
        <v>0</v>
      </c>
      <c r="H197" s="1" t="s">
        <v>1</v>
      </c>
      <c r="I197" s="2">
        <v>0</v>
      </c>
      <c r="J197" s="1">
        <v>45933.332731481481</v>
      </c>
    </row>
    <row r="198" spans="1:14" x14ac:dyDescent="0.2">
      <c r="A198" s="4" t="s">
        <v>0</v>
      </c>
      <c r="B198" s="3" t="str">
        <f>HYPERLINK("https://otsuka-europe-crm.veevavault.com/ui/#object/approved_document__v/V5OZ025E82TZ6JH", "DACH (AT) HCP NPS Survey VAE 2025")</f>
        <v>DACH (AT) HCP NPS Survey VAE 2025</v>
      </c>
      <c r="C198" s="3" t="str">
        <f>HYPERLINK("https://otsuka-europe-crm.veevavault.com/ui/#object/sent_email__v/VBLZ025E82H8ZV5", "SE-000283066")</f>
        <v>SE-000283066</v>
      </c>
      <c r="D198" s="1">
        <v>45933.403912037036</v>
      </c>
      <c r="E198" s="2">
        <v>1</v>
      </c>
      <c r="F198" s="2">
        <v>1</v>
      </c>
      <c r="G198" s="2">
        <v>0</v>
      </c>
      <c r="H198" s="1" t="s">
        <v>1</v>
      </c>
      <c r="I198" s="2">
        <v>0</v>
      </c>
      <c r="J198" s="1">
        <v>45933.333148148151</v>
      </c>
    </row>
    <row r="199" spans="1:14" x14ac:dyDescent="0.2">
      <c r="A199" s="4" t="s">
        <v>0</v>
      </c>
      <c r="B199" s="3" t="str">
        <f>HYPERLINK("https://otsuka-europe-crm.veevavault.com/ui/#object/approved_document__v/V5OZ025E82TZ6JH", "DACH (AT) HCP NPS Survey VAE 2025")</f>
        <v>DACH (AT) HCP NPS Survey VAE 2025</v>
      </c>
      <c r="C199" s="3" t="str">
        <f>HYPERLINK("https://otsuka-europe-crm.veevavault.com/ui/#object/sent_email__v/VBLZ025E82H900P", "SE-000283067")</f>
        <v>SE-000283067</v>
      </c>
      <c r="D199" s="1">
        <v>45937.610995370371</v>
      </c>
      <c r="E199" s="2">
        <v>1</v>
      </c>
      <c r="F199" s="2">
        <v>1</v>
      </c>
      <c r="G199" s="2">
        <v>1</v>
      </c>
      <c r="H199" s="1">
        <v>45937.613518518519</v>
      </c>
      <c r="I199" s="2">
        <v>2</v>
      </c>
      <c r="J199" s="1">
        <v>45933.333657407406</v>
      </c>
    </row>
    <row r="200" spans="1:14" x14ac:dyDescent="0.2">
      <c r="A200" s="4" t="s">
        <v>0</v>
      </c>
      <c r="B200" s="3" t="str">
        <f>HYPERLINK("https://otsuka-europe-crm.veevavault.com/ui/#object/approved_document__v/V5OZ025E82TZ6JH", "DACH (AT) HCP NPS Survey VAE 2025")</f>
        <v>DACH (AT) HCP NPS Survey VAE 2025</v>
      </c>
      <c r="C200" s="3" t="str">
        <f>HYPERLINK("https://otsuka-europe-crm.veevavault.com/ui/#object/sent_email__v/VBLZ025E82H903H", "SE-000283068")</f>
        <v>SE-000283068</v>
      </c>
      <c r="D200" s="1">
        <v>45933.680844907409</v>
      </c>
      <c r="E200" s="2">
        <v>1</v>
      </c>
      <c r="F200" s="2">
        <v>3</v>
      </c>
      <c r="G200" s="2">
        <v>0</v>
      </c>
      <c r="H200" s="1" t="s">
        <v>1</v>
      </c>
      <c r="I200" s="2">
        <v>0</v>
      </c>
      <c r="J200" s="1">
        <v>45933.334178240744</v>
      </c>
    </row>
    <row r="201" spans="1:14" x14ac:dyDescent="0.2">
      <c r="A201" s="4" t="s">
        <v>0</v>
      </c>
      <c r="B201" s="3" t="str">
        <f>HYPERLINK("https://otsuka-europe-crm.veevavault.com/ui/#object/approved_document__v/V5OZ025E82TZ6JH", "DACH (AT) HCP NPS Survey VAE 2025")</f>
        <v>DACH (AT) HCP NPS Survey VAE 2025</v>
      </c>
      <c r="C201" s="3" t="str">
        <f>HYPERLINK("https://otsuka-europe-crm.veevavault.com/ui/#object/sent_email__v/VBLZ025E82H9IB3", "SE-000283246")</f>
        <v>SE-000283246</v>
      </c>
      <c r="D201" s="1" t="s">
        <v>1</v>
      </c>
      <c r="E201" s="2">
        <v>0</v>
      </c>
      <c r="F201" s="2">
        <v>0</v>
      </c>
      <c r="G201" s="2">
        <v>0</v>
      </c>
      <c r="H201" s="1" t="s">
        <v>1</v>
      </c>
      <c r="I201" s="2">
        <v>0</v>
      </c>
      <c r="J201" s="1">
        <v>45933.433182870373</v>
      </c>
    </row>
    <row r="202" spans="1:14" x14ac:dyDescent="0.2">
      <c r="A202" s="4" t="s">
        <v>0</v>
      </c>
      <c r="B202" s="3" t="str">
        <f>HYPERLINK("https://otsuka-europe-crm.veevavault.com/ui/#object/approved_document__v/V5OZ025E82TZ6JH", "DACH (AT) HCP NPS Survey VAE 2025")</f>
        <v>DACH (AT) HCP NPS Survey VAE 2025</v>
      </c>
      <c r="C202" s="3" t="str">
        <f>HYPERLINK("https://otsuka-europe-crm.veevavault.com/ui/#object/sent_email__v/VBLZ025E82H9LS1", "SE-000283247")</f>
        <v>SE-000283247</v>
      </c>
      <c r="D202" s="1" t="s">
        <v>1</v>
      </c>
      <c r="E202" s="2">
        <v>0</v>
      </c>
      <c r="F202" s="2">
        <v>0</v>
      </c>
      <c r="G202" s="2">
        <v>0</v>
      </c>
      <c r="H202" s="1" t="s">
        <v>1</v>
      </c>
      <c r="I202" s="2">
        <v>0</v>
      </c>
      <c r="J202" s="1">
        <v>45933.433865740742</v>
      </c>
      <c r="N202" t="s">
        <v>2</v>
      </c>
    </row>
    <row r="203" spans="1:14" x14ac:dyDescent="0.2">
      <c r="A203" s="4" t="s">
        <v>0</v>
      </c>
      <c r="B203" s="3" t="str">
        <f>HYPERLINK("https://otsuka-europe-crm.veevavault.com/ui/#object/approved_document__v/V5OZ025E82UM88X", "DACH (AT) HCP NPS Survey VAE 2025")</f>
        <v>DACH (AT) HCP NPS Survey VAE 2025</v>
      </c>
      <c r="C203" s="3" t="str">
        <f>HYPERLINK("https://otsuka-europe-crm.veevavault.com/ui/#object/sent_email__v/VBLZ025E82HJLQD", "SE-000286870")</f>
        <v>SE-000286870</v>
      </c>
      <c r="D203" s="1" t="s">
        <v>1</v>
      </c>
      <c r="E203" s="2">
        <v>0</v>
      </c>
      <c r="F203" s="2">
        <v>0</v>
      </c>
      <c r="G203" s="2">
        <v>0</v>
      </c>
      <c r="H203" s="1" t="s">
        <v>1</v>
      </c>
      <c r="I203" s="2">
        <v>0</v>
      </c>
      <c r="J203" s="1">
        <v>45944.368946759256</v>
      </c>
    </row>
    <row r="204" spans="1:14" x14ac:dyDescent="0.2">
      <c r="A204" s="4" t="s">
        <v>0</v>
      </c>
      <c r="B204" s="3" t="str">
        <f>HYPERLINK("https://otsuka-europe-crm.veevavault.com/ui/#object/approved_document__v/V5OZ025E82UM88X", "DACH (AT) HCP NPS Survey VAE 2025")</f>
        <v>DACH (AT) HCP NPS Survey VAE 2025</v>
      </c>
      <c r="C204" s="3" t="str">
        <f>HYPERLINK("https://otsuka-europe-crm.veevavault.com/ui/#object/sent_email__v/VBLZ025E82HJLVX", "SE-000286871")</f>
        <v>SE-000286871</v>
      </c>
      <c r="D204" s="1" t="s">
        <v>1</v>
      </c>
      <c r="E204" s="2">
        <v>0</v>
      </c>
      <c r="F204" s="2">
        <v>0</v>
      </c>
      <c r="G204" s="2">
        <v>0</v>
      </c>
      <c r="H204" s="1" t="s">
        <v>1</v>
      </c>
      <c r="I204" s="2">
        <v>0</v>
      </c>
      <c r="J204" s="1">
        <v>45944.369606481479</v>
      </c>
    </row>
    <row r="205" spans="1:14" x14ac:dyDescent="0.2">
      <c r="A205" s="4" t="s">
        <v>0</v>
      </c>
      <c r="B205" s="3" t="str">
        <f>HYPERLINK("https://otsuka-europe-crm.veevavault.com/ui/#object/approved_document__v/V5OZ025E82UM88X", "DACH (AT) HCP NPS Survey VAE 2025")</f>
        <v>DACH (AT) HCP NPS Survey VAE 2025</v>
      </c>
      <c r="C205" s="3" t="str">
        <f>HYPERLINK("https://otsuka-europe-crm.veevavault.com/ui/#object/sent_email__v/VBLZ025E82HJM49", "SE-000286873")</f>
        <v>SE-000286873</v>
      </c>
      <c r="D205" s="1" t="s">
        <v>1</v>
      </c>
      <c r="E205" s="2">
        <v>0</v>
      </c>
      <c r="F205" s="2">
        <v>0</v>
      </c>
      <c r="G205" s="2">
        <v>0</v>
      </c>
      <c r="H205" s="1" t="s">
        <v>1</v>
      </c>
      <c r="I205" s="2">
        <v>0</v>
      </c>
      <c r="J205" s="1">
        <v>45944.370810185188</v>
      </c>
    </row>
    <row r="206" spans="1:14" x14ac:dyDescent="0.2">
      <c r="A206" s="4" t="s">
        <v>0</v>
      </c>
      <c r="B206" s="3" t="str">
        <f>HYPERLINK("https://otsuka-europe-crm.veevavault.com/ui/#object/approved_document__v/V5OZ025E82UM88X", "DACH (AT) HCP NPS Survey VAE 2025")</f>
        <v>DACH (AT) HCP NPS Survey VAE 2025</v>
      </c>
      <c r="C206" s="3" t="str">
        <f>HYPERLINK("https://otsuka-europe-crm.veevavault.com/ui/#object/sent_email__v/VBLZ025E82HJM9T", "SE-000286876")</f>
        <v>SE-000286876</v>
      </c>
      <c r="D206" s="1" t="s">
        <v>1</v>
      </c>
      <c r="E206" s="2">
        <v>0</v>
      </c>
      <c r="F206" s="2">
        <v>0</v>
      </c>
      <c r="G206" s="2">
        <v>0</v>
      </c>
      <c r="H206" s="1" t="s">
        <v>1</v>
      </c>
      <c r="I206" s="2">
        <v>0</v>
      </c>
      <c r="J206" s="1">
        <v>45944.371550925927</v>
      </c>
    </row>
    <row r="207" spans="1:14" x14ac:dyDescent="0.2">
      <c r="A207" s="4" t="s">
        <v>0</v>
      </c>
      <c r="B207" s="3" t="str">
        <f>HYPERLINK("https://otsuka-europe-crm.veevavault.com/ui/#object/approved_document__v/V5OZ025E82UM88X", "DACH (AT) HCP NPS Survey VAE 2025")</f>
        <v>DACH (AT) HCP NPS Survey VAE 2025</v>
      </c>
      <c r="C207" s="3" t="str">
        <f>HYPERLINK("https://otsuka-europe-crm.veevavault.com/ui/#object/sent_email__v/VBLZ025E82HJMCL", "SE-000286877")</f>
        <v>SE-000286877</v>
      </c>
      <c r="D207" s="1" t="s">
        <v>1</v>
      </c>
      <c r="E207" s="2">
        <v>0</v>
      </c>
      <c r="F207" s="2">
        <v>0</v>
      </c>
      <c r="G207" s="2">
        <v>0</v>
      </c>
      <c r="H207" s="1" t="s">
        <v>1</v>
      </c>
      <c r="I207" s="2">
        <v>0</v>
      </c>
      <c r="J207" s="1">
        <v>45944.372615740744</v>
      </c>
    </row>
    <row r="208" spans="1:14" x14ac:dyDescent="0.2">
      <c r="A208" s="4" t="s">
        <v>0</v>
      </c>
      <c r="B208" s="3" t="str">
        <f>HYPERLINK("https://otsuka-europe-crm.veevavault.com/ui/#object/approved_document__v/V5OZ025E82UM88X", "DACH (AT) HCP NPS Survey VAE 2025")</f>
        <v>DACH (AT) HCP NPS Survey VAE 2025</v>
      </c>
      <c r="C208" s="3" t="str">
        <f>HYPERLINK("https://otsuka-europe-crm.veevavault.com/ui/#object/sent_email__v/VBLZ025E82HJMI5", "SE-000286878")</f>
        <v>SE-000286878</v>
      </c>
      <c r="D208" s="1" t="s">
        <v>1</v>
      </c>
      <c r="E208" s="2">
        <v>0</v>
      </c>
      <c r="F208" s="2">
        <v>0</v>
      </c>
      <c r="G208" s="2">
        <v>0</v>
      </c>
      <c r="H208" s="1" t="s">
        <v>1</v>
      </c>
      <c r="I208" s="2">
        <v>0</v>
      </c>
      <c r="J208" s="1">
        <v>45944.373402777775</v>
      </c>
    </row>
    <row r="209" spans="1:10" x14ac:dyDescent="0.2">
      <c r="A209" s="4" t="s">
        <v>0</v>
      </c>
      <c r="B209" s="3" t="str">
        <f>HYPERLINK("https://otsuka-europe-crm.veevavault.com/ui/#object/approved_document__v/V5OZ025E82UM88X", "DACH (AT) HCP NPS Survey VAE 2025")</f>
        <v>DACH (AT) HCP NPS Survey VAE 2025</v>
      </c>
      <c r="C209" s="3" t="str">
        <f>HYPERLINK("https://otsuka-europe-crm.veevavault.com/ui/#object/sent_email__v/VBLZ025E82HJMNP", "SE-000286879")</f>
        <v>SE-000286879</v>
      </c>
      <c r="D209" s="1" t="s">
        <v>1</v>
      </c>
      <c r="E209" s="2">
        <v>0</v>
      </c>
      <c r="F209" s="2">
        <v>0</v>
      </c>
      <c r="G209" s="2">
        <v>0</v>
      </c>
      <c r="H209" s="1" t="s">
        <v>1</v>
      </c>
      <c r="I209" s="2">
        <v>0</v>
      </c>
      <c r="J209" s="1">
        <v>45944.373819444445</v>
      </c>
    </row>
    <row r="210" spans="1:10" x14ac:dyDescent="0.2">
      <c r="A210" s="4" t="s">
        <v>0</v>
      </c>
      <c r="B210" s="3" t="str">
        <f>HYPERLINK("https://otsuka-europe-crm.veevavault.com/ui/#object/approved_document__v/V5OZ025E82UM88X", "DACH (AT) HCP NPS Survey VAE 2025")</f>
        <v>DACH (AT) HCP NPS Survey VAE 2025</v>
      </c>
      <c r="C210" s="3" t="str">
        <f>HYPERLINK("https://otsuka-europe-crm.veevavault.com/ui/#object/sent_email__v/VBLZ025E82HJMQH", "SE-000286880")</f>
        <v>SE-000286880</v>
      </c>
      <c r="D210" s="1">
        <v>45947.312407407408</v>
      </c>
      <c r="E210" s="2">
        <v>1</v>
      </c>
      <c r="F210" s="2">
        <v>5</v>
      </c>
      <c r="G210" s="2">
        <v>1</v>
      </c>
      <c r="H210" s="1">
        <v>45946.797881944447</v>
      </c>
      <c r="I210" s="2">
        <v>1</v>
      </c>
      <c r="J210" s="1">
        <v>45944.374305555553</v>
      </c>
    </row>
    <row r="211" spans="1:10" x14ac:dyDescent="0.2">
      <c r="A211" s="4" t="s">
        <v>0</v>
      </c>
      <c r="B211" s="3" t="str">
        <f>HYPERLINK("https://otsuka-europe-crm.veevavault.com/ui/#object/approved_document__v/V5OZ025E82UM88X", "DACH (AT) HCP NPS Survey VAE 2025")</f>
        <v>DACH (AT) HCP NPS Survey VAE 2025</v>
      </c>
      <c r="C211" s="3" t="str">
        <f>HYPERLINK("https://otsuka-europe-crm.veevavault.com/ui/#object/sent_email__v/VBLZ025E82HJMT9", "SE-000286881")</f>
        <v>SE-000286881</v>
      </c>
      <c r="D211" s="1" t="s">
        <v>1</v>
      </c>
      <c r="E211" s="2">
        <v>0</v>
      </c>
      <c r="F211" s="2">
        <v>0</v>
      </c>
      <c r="G211" s="2">
        <v>0</v>
      </c>
      <c r="H211" s="1" t="s">
        <v>1</v>
      </c>
      <c r="I211" s="2">
        <v>0</v>
      </c>
      <c r="J211" s="1">
        <v>45944.3747337963</v>
      </c>
    </row>
    <row r="212" spans="1:10" x14ac:dyDescent="0.2">
      <c r="A212" s="4" t="s">
        <v>0</v>
      </c>
      <c r="B212" s="3" t="str">
        <f>HYPERLINK("https://otsuka-europe-crm.veevavault.com/ui/#object/approved_document__v/V5OZ025E82UM88X", "DACH (AT) HCP NPS Survey VAE 2025")</f>
        <v>DACH (AT) HCP NPS Survey VAE 2025</v>
      </c>
      <c r="C212" s="3" t="str">
        <f>HYPERLINK("https://otsuka-europe-crm.veevavault.com/ui/#object/sent_email__v/VBLZ025E82HJMYT", "SE-000286882")</f>
        <v>SE-000286882</v>
      </c>
      <c r="D212" s="1">
        <v>45944.422685185185</v>
      </c>
      <c r="E212" s="2">
        <v>1</v>
      </c>
      <c r="F212" s="2">
        <v>1</v>
      </c>
      <c r="G212" s="2">
        <v>1</v>
      </c>
      <c r="H212" s="1">
        <v>45944.422685185185</v>
      </c>
      <c r="I212" s="2">
        <v>1</v>
      </c>
      <c r="J212" s="1">
        <v>45944.375185185185</v>
      </c>
    </row>
    <row r="213" spans="1:10" x14ac:dyDescent="0.2">
      <c r="A213" s="4" t="s">
        <v>0</v>
      </c>
      <c r="B213" s="3" t="str">
        <f>HYPERLINK("https://otsuka-europe-crm.veevavault.com/ui/#object/approved_document__v/V5OZ025E82UM88X", "DACH (AT) HCP NPS Survey VAE 2025")</f>
        <v>DACH (AT) HCP NPS Survey VAE 2025</v>
      </c>
      <c r="C213" s="3" t="str">
        <f>HYPERLINK("https://otsuka-europe-crm.veevavault.com/ui/#object/sent_email__v/VBLZ025E82HJN1L", "SE-000286883")</f>
        <v>SE-000286883</v>
      </c>
      <c r="D213" s="1" t="s">
        <v>1</v>
      </c>
      <c r="E213" s="2">
        <v>0</v>
      </c>
      <c r="F213" s="2">
        <v>0</v>
      </c>
      <c r="G213" s="2">
        <v>0</v>
      </c>
      <c r="H213" s="1" t="s">
        <v>1</v>
      </c>
      <c r="I213" s="2">
        <v>0</v>
      </c>
      <c r="J213" s="1">
        <v>45944.375879629632</v>
      </c>
    </row>
    <row r="214" spans="1:10" x14ac:dyDescent="0.2">
      <c r="A214" s="4" t="s">
        <v>0</v>
      </c>
      <c r="B214" s="3" t="str">
        <f>HYPERLINK("https://otsuka-europe-crm.veevavault.com/ui/#object/approved_document__v/V5OZ025E82UM88X", "DACH (AT) HCP NPS Survey VAE 2025")</f>
        <v>DACH (AT) HCP NPS Survey VAE 2025</v>
      </c>
      <c r="C214" s="3" t="str">
        <f>HYPERLINK("https://otsuka-europe-crm.veevavault.com/ui/#object/sent_email__v/VBLZ025E82HJN4D", "SE-000286884")</f>
        <v>SE-000286884</v>
      </c>
      <c r="D214" s="1">
        <v>45946.289236111108</v>
      </c>
      <c r="E214" s="2">
        <v>1</v>
      </c>
      <c r="F214" s="2">
        <v>1</v>
      </c>
      <c r="G214" s="2">
        <v>1</v>
      </c>
      <c r="H214" s="1">
        <v>45946.289236111108</v>
      </c>
      <c r="I214" s="2">
        <v>1</v>
      </c>
      <c r="J214" s="1">
        <v>45944.376504629632</v>
      </c>
    </row>
    <row r="215" spans="1:10" x14ac:dyDescent="0.2">
      <c r="A215" s="4" t="s">
        <v>0</v>
      </c>
      <c r="B215" s="3" t="str">
        <f>HYPERLINK("https://otsuka-europe-crm.veevavault.com/ui/#object/approved_document__v/V5OZ025E82UM88X", "DACH (AT) HCP NPS Survey VAE 2025")</f>
        <v>DACH (AT) HCP NPS Survey VAE 2025</v>
      </c>
      <c r="C215" s="3" t="str">
        <f>HYPERLINK("https://otsuka-europe-crm.veevavault.com/ui/#object/sent_email__v/VBLZ025E82HJN75", "SE-000286885")</f>
        <v>SE-000286885</v>
      </c>
      <c r="D215" s="1">
        <v>45944.601747685185</v>
      </c>
      <c r="E215" s="2">
        <v>1</v>
      </c>
      <c r="F215" s="2">
        <v>1</v>
      </c>
      <c r="G215" s="2">
        <v>1</v>
      </c>
      <c r="H215" s="1">
        <v>45944.60229166667</v>
      </c>
      <c r="I215" s="2">
        <v>1</v>
      </c>
      <c r="J215" s="1">
        <v>45944.37703703704</v>
      </c>
    </row>
    <row r="216" spans="1:10" x14ac:dyDescent="0.2">
      <c r="A216" s="4" t="s">
        <v>0</v>
      </c>
      <c r="B216" s="3" t="str">
        <f>HYPERLINK("https://otsuka-europe-crm.veevavault.com/ui/#object/approved_document__v/V5OZ025E82UM88X", "DACH (AT) HCP NPS Survey VAE 2025")</f>
        <v>DACH (AT) HCP NPS Survey VAE 2025</v>
      </c>
      <c r="C216" s="3" t="str">
        <f>HYPERLINK("https://otsuka-europe-crm.veevavault.com/ui/#object/sent_email__v/VBLZ025E82HJN9X", "SE-000286886")</f>
        <v>SE-000286886</v>
      </c>
      <c r="D216" s="1" t="s">
        <v>1</v>
      </c>
      <c r="E216" s="2">
        <v>0</v>
      </c>
      <c r="F216" s="2">
        <v>0</v>
      </c>
      <c r="G216" s="2">
        <v>0</v>
      </c>
      <c r="H216" s="1" t="s">
        <v>1</v>
      </c>
      <c r="I216" s="2">
        <v>0</v>
      </c>
      <c r="J216" s="1">
        <v>45944.377476851849</v>
      </c>
    </row>
    <row r="217" spans="1:10" x14ac:dyDescent="0.2">
      <c r="A217" s="4" t="s">
        <v>0</v>
      </c>
      <c r="B217" s="3" t="str">
        <f>HYPERLINK("https://otsuka-europe-crm.veevavault.com/ui/#object/approved_document__v/V5OZ025E82UM88X", "DACH (AT) HCP NPS Survey VAE 2025")</f>
        <v>DACH (AT) HCP NPS Survey VAE 2025</v>
      </c>
      <c r="C217" s="3" t="str">
        <f>HYPERLINK("https://otsuka-europe-crm.veevavault.com/ui/#object/sent_email__v/VBLZ025E82HJNCP", "SE-000286887")</f>
        <v>SE-000286887</v>
      </c>
      <c r="D217" s="1" t="s">
        <v>1</v>
      </c>
      <c r="E217" s="2">
        <v>0</v>
      </c>
      <c r="F217" s="2">
        <v>0</v>
      </c>
      <c r="G217" s="2">
        <v>0</v>
      </c>
      <c r="H217" s="1" t="s">
        <v>1</v>
      </c>
      <c r="I217" s="2">
        <v>0</v>
      </c>
      <c r="J217" s="1">
        <v>45944.378703703704</v>
      </c>
    </row>
    <row r="218" spans="1:10" x14ac:dyDescent="0.2">
      <c r="A218" s="4" t="s">
        <v>0</v>
      </c>
      <c r="B218" s="3" t="str">
        <f>HYPERLINK("https://otsuka-europe-crm.veevavault.com/ui/#object/approved_document__v/V5OZ025E82UM88X", "DACH (AT) HCP NPS Survey VAE 2025")</f>
        <v>DACH (AT) HCP NPS Survey VAE 2025</v>
      </c>
      <c r="C218" s="3" t="str">
        <f>HYPERLINK("https://otsuka-europe-crm.veevavault.com/ui/#object/sent_email__v/VBLZ025E82HJNFH", "SE-000286888")</f>
        <v>SE-000286888</v>
      </c>
      <c r="D218" s="1" t="s">
        <v>1</v>
      </c>
      <c r="E218" s="2">
        <v>0</v>
      </c>
      <c r="F218" s="2">
        <v>0</v>
      </c>
      <c r="G218" s="2">
        <v>0</v>
      </c>
      <c r="H218" s="1" t="s">
        <v>1</v>
      </c>
      <c r="I218" s="2">
        <v>0</v>
      </c>
      <c r="J218" s="1">
        <v>45944.379155092596</v>
      </c>
    </row>
    <row r="219" spans="1:10" x14ac:dyDescent="0.2">
      <c r="A219" s="4" t="s">
        <v>0</v>
      </c>
      <c r="B219" s="3" t="str">
        <f>HYPERLINK("https://otsuka-europe-crm.veevavault.com/ui/#object/approved_document__v/V5OZ025E82UM88X", "DACH (AT) HCP NPS Survey VAE 2025")</f>
        <v>DACH (AT) HCP NPS Survey VAE 2025</v>
      </c>
      <c r="C219" s="3" t="str">
        <f>HYPERLINK("https://otsuka-europe-crm.veevavault.com/ui/#object/sent_email__v/VBLZ025E82HJNNT", "SE-000286889")</f>
        <v>SE-000286889</v>
      </c>
      <c r="D219" s="1" t="s">
        <v>1</v>
      </c>
      <c r="E219" s="2">
        <v>0</v>
      </c>
      <c r="F219" s="2">
        <v>0</v>
      </c>
      <c r="G219" s="2">
        <v>0</v>
      </c>
      <c r="H219" s="1" t="s">
        <v>1</v>
      </c>
      <c r="I219" s="2">
        <v>0</v>
      </c>
      <c r="J219" s="1">
        <v>45944.380231481482</v>
      </c>
    </row>
    <row r="220" spans="1:10" x14ac:dyDescent="0.2">
      <c r="A220" s="4" t="s">
        <v>0</v>
      </c>
      <c r="B220" s="3" t="str">
        <f>HYPERLINK("https://otsuka-europe-crm.veevavault.com/ui/#object/approved_document__v/V5OZ025E82UM88X", "DACH (AT) HCP NPS Survey VAE 2025")</f>
        <v>DACH (AT) HCP NPS Survey VAE 2025</v>
      </c>
      <c r="C220" s="3" t="str">
        <f>HYPERLINK("https://otsuka-europe-crm.veevavault.com/ui/#object/sent_email__v/VBLZ025E82HJNTD", "SE-000286890")</f>
        <v>SE-000286890</v>
      </c>
      <c r="D220" s="1" t="s">
        <v>1</v>
      </c>
      <c r="E220" s="2">
        <v>0</v>
      </c>
      <c r="F220" s="2">
        <v>0</v>
      </c>
      <c r="G220" s="2">
        <v>0</v>
      </c>
      <c r="H220" s="1" t="s">
        <v>1</v>
      </c>
      <c r="I220" s="2">
        <v>0</v>
      </c>
      <c r="J220" s="1">
        <v>45944.380266203705</v>
      </c>
    </row>
    <row r="221" spans="1:10" x14ac:dyDescent="0.2">
      <c r="A221" s="4" t="s">
        <v>0</v>
      </c>
      <c r="B221" s="3" t="str">
        <f>HYPERLINK("https://otsuka-europe-crm.veevavault.com/ui/#object/approved_document__v/V5OZ025E82UM88X", "DACH (AT) HCP NPS Survey VAE 2025")</f>
        <v>DACH (AT) HCP NPS Survey VAE 2025</v>
      </c>
      <c r="C221" s="3" t="str">
        <f>HYPERLINK("https://otsuka-europe-crm.veevavault.com/ui/#object/sent_email__v/VBLZ025E82HJNW5", "SE-000286891")</f>
        <v>SE-000286891</v>
      </c>
      <c r="D221" s="1">
        <v>45944.381527777776</v>
      </c>
      <c r="E221" s="2">
        <v>1</v>
      </c>
      <c r="F221" s="2">
        <v>1</v>
      </c>
      <c r="G221" s="2">
        <v>1</v>
      </c>
      <c r="H221" s="1">
        <v>45944.381909722222</v>
      </c>
      <c r="I221" s="2">
        <v>1</v>
      </c>
      <c r="J221" s="1">
        <v>45944.380682870367</v>
      </c>
    </row>
    <row r="222" spans="1:10" x14ac:dyDescent="0.2">
      <c r="A222" s="4" t="s">
        <v>0</v>
      </c>
      <c r="B222" s="3" t="str">
        <f>HYPERLINK("https://otsuka-europe-crm.veevavault.com/ui/#object/approved_document__v/V5OZ025E82UM88X", "DACH (AT) HCP NPS Survey VAE 2025")</f>
        <v>DACH (AT) HCP NPS Survey VAE 2025</v>
      </c>
      <c r="C222" s="3" t="str">
        <f>HYPERLINK("https://otsuka-europe-crm.veevavault.com/ui/#object/sent_email__v/VBLZ025E82HJNYX", "SE-000286892")</f>
        <v>SE-000286892</v>
      </c>
      <c r="D222" s="1" t="s">
        <v>1</v>
      </c>
      <c r="E222" s="2">
        <v>0</v>
      </c>
      <c r="F222" s="2">
        <v>0</v>
      </c>
      <c r="G222" s="2">
        <v>0</v>
      </c>
      <c r="H222" s="1" t="s">
        <v>1</v>
      </c>
      <c r="I222" s="2">
        <v>0</v>
      </c>
      <c r="J222" s="1">
        <v>45944.38108796296</v>
      </c>
    </row>
    <row r="223" spans="1:10" x14ac:dyDescent="0.2">
      <c r="A223" s="4" t="s">
        <v>0</v>
      </c>
      <c r="B223" s="3" t="str">
        <f>HYPERLINK("https://otsuka-europe-crm.veevavault.com/ui/#object/approved_document__v/V5OZ025E82UM88X", "DACH (AT) HCP NPS Survey VAE 2025")</f>
        <v>DACH (AT) HCP NPS Survey VAE 2025</v>
      </c>
      <c r="C223" s="3" t="str">
        <f>HYPERLINK("https://otsuka-europe-crm.veevavault.com/ui/#object/sent_email__v/VBLZ025E82HJO1P", "SE-000286893")</f>
        <v>SE-000286893</v>
      </c>
      <c r="D223" s="1" t="s">
        <v>1</v>
      </c>
      <c r="E223" s="2">
        <v>0</v>
      </c>
      <c r="F223" s="2">
        <v>0</v>
      </c>
      <c r="G223" s="2">
        <v>0</v>
      </c>
      <c r="H223" s="1" t="s">
        <v>1</v>
      </c>
      <c r="I223" s="2">
        <v>0</v>
      </c>
      <c r="J223" s="1">
        <v>45944.381469907406</v>
      </c>
    </row>
    <row r="224" spans="1:10" x14ac:dyDescent="0.2">
      <c r="A224" s="4" t="s">
        <v>0</v>
      </c>
      <c r="B224" s="3" t="str">
        <f>HYPERLINK("https://otsuka-europe-crm.veevavault.com/ui/#object/approved_document__v/V5OZ025E82UM88X", "DACH (AT) HCP NPS Survey VAE 2025")</f>
        <v>DACH (AT) HCP NPS Survey VAE 2025</v>
      </c>
      <c r="C224" s="3" t="str">
        <f>HYPERLINK("https://otsuka-europe-crm.veevavault.com/ui/#object/sent_email__v/VBLZ025E82HJO4H", "SE-000286894")</f>
        <v>SE-000286894</v>
      </c>
      <c r="D224" s="1" t="s">
        <v>1</v>
      </c>
      <c r="E224" s="2">
        <v>0</v>
      </c>
      <c r="F224" s="2">
        <v>0</v>
      </c>
      <c r="G224" s="2">
        <v>0</v>
      </c>
      <c r="H224" s="1" t="s">
        <v>1</v>
      </c>
      <c r="I224" s="2">
        <v>0</v>
      </c>
      <c r="J224" s="1">
        <v>45944.383136574077</v>
      </c>
    </row>
    <row r="225" spans="1:10" x14ac:dyDescent="0.2">
      <c r="A225" s="4" t="s">
        <v>0</v>
      </c>
      <c r="B225" s="3" t="str">
        <f>HYPERLINK("https://otsuka-europe-crm.veevavault.com/ui/#object/approved_document__v/V5OZ025E82UM88X", "DACH (AT) HCP NPS Survey VAE 2025")</f>
        <v>DACH (AT) HCP NPS Survey VAE 2025</v>
      </c>
      <c r="C225" s="3" t="str">
        <f>HYPERLINK("https://otsuka-europe-crm.veevavault.com/ui/#object/sent_email__v/VBLZ025E82HJOA1", "SE-000286895")</f>
        <v>SE-000286895</v>
      </c>
      <c r="D225" s="1" t="s">
        <v>1</v>
      </c>
      <c r="E225" s="2">
        <v>0</v>
      </c>
      <c r="F225" s="2">
        <v>0</v>
      </c>
      <c r="G225" s="2">
        <v>0</v>
      </c>
      <c r="H225" s="1" t="s">
        <v>1</v>
      </c>
      <c r="I225" s="2">
        <v>0</v>
      </c>
      <c r="J225" s="1">
        <v>45944.383981481478</v>
      </c>
    </row>
    <row r="226" spans="1:10" x14ac:dyDescent="0.2">
      <c r="A226" s="4" t="s">
        <v>0</v>
      </c>
      <c r="B226" s="3" t="str">
        <f>HYPERLINK("https://otsuka-europe-crm.veevavault.com/ui/#object/approved_document__v/V5OZ025E82UM88X", "DACH (AT) HCP NPS Survey VAE 2025")</f>
        <v>DACH (AT) HCP NPS Survey VAE 2025</v>
      </c>
      <c r="C226" s="3" t="str">
        <f>HYPERLINK("https://otsuka-europe-crm.veevavault.com/ui/#object/sent_email__v/VBLZ025E82HJOCT", "SE-000286896")</f>
        <v>SE-000286896</v>
      </c>
      <c r="D226" s="1" t="s">
        <v>1</v>
      </c>
      <c r="E226" s="2">
        <v>0</v>
      </c>
      <c r="F226" s="2">
        <v>0</v>
      </c>
      <c r="G226" s="2">
        <v>0</v>
      </c>
      <c r="H226" s="1" t="s">
        <v>1</v>
      </c>
      <c r="I226" s="2">
        <v>0</v>
      </c>
      <c r="J226" s="1">
        <v>45944.38484953704</v>
      </c>
    </row>
    <row r="227" spans="1:10" x14ac:dyDescent="0.2">
      <c r="A227" s="4" t="s">
        <v>0</v>
      </c>
      <c r="B227" s="3" t="str">
        <f>HYPERLINK("https://otsuka-europe-crm.veevavault.com/ui/#object/approved_document__v/V5OZ025E82UM88X", "DACH (AT) HCP NPS Survey VAE 2025")</f>
        <v>DACH (AT) HCP NPS Survey VAE 2025</v>
      </c>
      <c r="C227" s="3" t="str">
        <f>HYPERLINK("https://otsuka-europe-crm.veevavault.com/ui/#object/sent_email__v/VBLZ025E82HJOFL", "SE-000286897")</f>
        <v>SE-000286897</v>
      </c>
      <c r="D227" s="1" t="s">
        <v>1</v>
      </c>
      <c r="E227" s="2">
        <v>0</v>
      </c>
      <c r="F227" s="2">
        <v>0</v>
      </c>
      <c r="G227" s="2">
        <v>0</v>
      </c>
      <c r="H227" s="1" t="s">
        <v>1</v>
      </c>
      <c r="I227" s="2">
        <v>0</v>
      </c>
      <c r="J227" s="1">
        <v>45944.385625000003</v>
      </c>
    </row>
    <row r="228" spans="1:10" x14ac:dyDescent="0.2">
      <c r="A228" s="4" t="s">
        <v>0</v>
      </c>
      <c r="B228" s="3" t="str">
        <f>HYPERLINK("https://otsuka-europe-crm.veevavault.com/ui/#object/approved_document__v/V5OZ025E82UM88X", "DACH (AT) HCP NPS Survey VAE 2025")</f>
        <v>DACH (AT) HCP NPS Survey VAE 2025</v>
      </c>
      <c r="C228" s="3" t="str">
        <f>HYPERLINK("https://otsuka-europe-crm.veevavault.com/ui/#object/sent_email__v/VBLZ025E82HJOL5", "SE-000286898")</f>
        <v>SE-000286898</v>
      </c>
      <c r="D228" s="1" t="s">
        <v>1</v>
      </c>
      <c r="E228" s="2">
        <v>0</v>
      </c>
      <c r="F228" s="2">
        <v>0</v>
      </c>
      <c r="G228" s="2">
        <v>0</v>
      </c>
      <c r="H228" s="1" t="s">
        <v>1</v>
      </c>
      <c r="I228" s="2">
        <v>0</v>
      </c>
      <c r="J228" s="1">
        <v>45944.385972222219</v>
      </c>
    </row>
    <row r="229" spans="1:10" x14ac:dyDescent="0.2">
      <c r="A229" s="4" t="s">
        <v>0</v>
      </c>
      <c r="B229" s="3" t="str">
        <f>HYPERLINK("https://otsuka-europe-crm.veevavault.com/ui/#object/approved_document__v/V5OZ025E82UM88X", "DACH (AT) HCP NPS Survey VAE 2025")</f>
        <v>DACH (AT) HCP NPS Survey VAE 2025</v>
      </c>
      <c r="C229" s="3" t="str">
        <f>HYPERLINK("https://otsuka-europe-crm.veevavault.com/ui/#object/sent_email__v/VBLZ025E82HJONX", "SE-000286899")</f>
        <v>SE-000286899</v>
      </c>
      <c r="D229" s="1" t="s">
        <v>1</v>
      </c>
      <c r="E229" s="2">
        <v>0</v>
      </c>
      <c r="F229" s="2">
        <v>0</v>
      </c>
      <c r="G229" s="2">
        <v>0</v>
      </c>
      <c r="H229" s="1" t="s">
        <v>1</v>
      </c>
      <c r="I229" s="2">
        <v>0</v>
      </c>
      <c r="J229" s="1">
        <v>45944.386469907404</v>
      </c>
    </row>
    <row r="230" spans="1:10" x14ac:dyDescent="0.2">
      <c r="A230" s="4" t="s">
        <v>0</v>
      </c>
      <c r="B230" s="3" t="str">
        <f>HYPERLINK("https://otsuka-europe-crm.veevavault.com/ui/#object/approved_document__v/V5OZ025E82UM88X", "DACH (AT) HCP NPS Survey VAE 2025")</f>
        <v>DACH (AT) HCP NPS Survey VAE 2025</v>
      </c>
      <c r="C230" s="3" t="str">
        <f>HYPERLINK("https://otsuka-europe-crm.veevavault.com/ui/#object/sent_email__v/VBLZ025E82HJOTH", "SE-000286900")</f>
        <v>SE-000286900</v>
      </c>
      <c r="D230" s="1" t="s">
        <v>1</v>
      </c>
      <c r="E230" s="2">
        <v>0</v>
      </c>
      <c r="F230" s="2">
        <v>0</v>
      </c>
      <c r="G230" s="2">
        <v>0</v>
      </c>
      <c r="H230" s="1" t="s">
        <v>1</v>
      </c>
      <c r="I230" s="2">
        <v>0</v>
      </c>
      <c r="J230" s="1">
        <v>45944.387361111112</v>
      </c>
    </row>
    <row r="231" spans="1:10" x14ac:dyDescent="0.2">
      <c r="A231" s="4" t="s">
        <v>0</v>
      </c>
      <c r="B231" s="3" t="str">
        <f>HYPERLINK("https://otsuka-europe-crm.veevavault.com/ui/#object/approved_document__v/V5OZ025E82UM88X", "DACH (AT) HCP NPS Survey VAE 2025")</f>
        <v>DACH (AT) HCP NPS Survey VAE 2025</v>
      </c>
      <c r="C231" s="3" t="str">
        <f>HYPERLINK("https://otsuka-europe-crm.veevavault.com/ui/#object/sent_email__v/VBLZ025E82HJOZ1", "SE-000286901")</f>
        <v>SE-000286901</v>
      </c>
      <c r="D231" s="1" t="s">
        <v>1</v>
      </c>
      <c r="E231" s="2">
        <v>0</v>
      </c>
      <c r="F231" s="2">
        <v>0</v>
      </c>
      <c r="G231" s="2">
        <v>0</v>
      </c>
      <c r="H231" s="1" t="s">
        <v>1</v>
      </c>
      <c r="I231" s="2">
        <v>0</v>
      </c>
      <c r="J231" s="1">
        <v>45944.388009259259</v>
      </c>
    </row>
    <row r="232" spans="1:10" x14ac:dyDescent="0.2">
      <c r="A232" s="4" t="s">
        <v>0</v>
      </c>
      <c r="B232" s="3" t="str">
        <f>HYPERLINK("https://otsuka-europe-crm.veevavault.com/ui/#object/approved_document__v/V5OZ025E82UM88X", "DACH (AT) HCP NPS Survey VAE 2025")</f>
        <v>DACH (AT) HCP NPS Survey VAE 2025</v>
      </c>
      <c r="C232" s="3" t="str">
        <f>HYPERLINK("https://otsuka-europe-crm.veevavault.com/ui/#object/sent_email__v/VBLZ025E82HJP1U", "SE-000286902")</f>
        <v>SE-000286902</v>
      </c>
      <c r="D232" s="1" t="s">
        <v>1</v>
      </c>
      <c r="E232" s="2">
        <v>0</v>
      </c>
      <c r="F232" s="2">
        <v>0</v>
      </c>
      <c r="G232" s="2">
        <v>0</v>
      </c>
      <c r="H232" s="1" t="s">
        <v>1</v>
      </c>
      <c r="I232" s="2">
        <v>0</v>
      </c>
      <c r="J232" s="1">
        <v>45944.388680555552</v>
      </c>
    </row>
    <row r="233" spans="1:10" x14ac:dyDescent="0.2">
      <c r="A233" s="4" t="s">
        <v>0</v>
      </c>
      <c r="B233" s="3" t="str">
        <f>HYPERLINK("https://otsuka-europe-crm.veevavault.com/ui/#object/approved_document__v/V5OZ025E82UM88X", "DACH (AT) HCP NPS Survey VAE 2025")</f>
        <v>DACH (AT) HCP NPS Survey VAE 2025</v>
      </c>
      <c r="C233" s="3" t="str">
        <f>HYPERLINK("https://otsuka-europe-crm.veevavault.com/ui/#object/sent_email__v/VBLZ025E82HJPFP", "SE-000286905")</f>
        <v>SE-000286905</v>
      </c>
      <c r="D233" s="1" t="s">
        <v>1</v>
      </c>
      <c r="E233" s="2">
        <v>0</v>
      </c>
      <c r="F233" s="2">
        <v>0</v>
      </c>
      <c r="G233" s="2">
        <v>0</v>
      </c>
      <c r="H233" s="1" t="s">
        <v>1</v>
      </c>
      <c r="I233" s="2">
        <v>0</v>
      </c>
      <c r="J233" s="1">
        <v>45944.393287037034</v>
      </c>
    </row>
    <row r="234" spans="1:10" x14ac:dyDescent="0.2">
      <c r="A234" s="4" t="s">
        <v>0</v>
      </c>
      <c r="B234" s="3" t="str">
        <f>HYPERLINK("https://otsuka-europe-crm.veevavault.com/ui/#object/approved_document__v/V5OZ025E82UM88X", "DACH (AT) HCP NPS Survey VAE 2025")</f>
        <v>DACH (AT) HCP NPS Survey VAE 2025</v>
      </c>
      <c r="C234" s="3" t="str">
        <f>HYPERLINK("https://otsuka-europe-crm.veevavault.com/ui/#object/sent_email__v/VBLZ025E82HJPO1", "SE-000286909")</f>
        <v>SE-000286909</v>
      </c>
      <c r="D234" s="1" t="s">
        <v>1</v>
      </c>
      <c r="E234" s="2">
        <v>0</v>
      </c>
      <c r="F234" s="2">
        <v>0</v>
      </c>
      <c r="G234" s="2">
        <v>0</v>
      </c>
      <c r="H234" s="1" t="s">
        <v>1</v>
      </c>
      <c r="I234" s="2">
        <v>0</v>
      </c>
      <c r="J234" s="1">
        <v>45944.394201388888</v>
      </c>
    </row>
    <row r="235" spans="1:10" x14ac:dyDescent="0.2">
      <c r="A235" s="4" t="s">
        <v>0</v>
      </c>
      <c r="B235" s="3" t="str">
        <f>HYPERLINK("https://otsuka-europe-crm.veevavault.com/ui/#object/approved_document__v/V5OZ025E82UM88X", "DACH (AT) HCP NPS Survey VAE 2025")</f>
        <v>DACH (AT) HCP NPS Survey VAE 2025</v>
      </c>
      <c r="C235" s="3" t="str">
        <f>HYPERLINK("https://otsuka-europe-crm.veevavault.com/ui/#object/sent_email__v/VBLZ025E82HJPTL", "SE-000286910")</f>
        <v>SE-000286910</v>
      </c>
      <c r="D235" s="1" t="s">
        <v>1</v>
      </c>
      <c r="E235" s="2">
        <v>0</v>
      </c>
      <c r="F235" s="2">
        <v>0</v>
      </c>
      <c r="G235" s="2">
        <v>0</v>
      </c>
      <c r="H235" s="1" t="s">
        <v>1</v>
      </c>
      <c r="I235" s="2">
        <v>0</v>
      </c>
      <c r="J235" s="1">
        <v>45944.394548611112</v>
      </c>
    </row>
    <row r="236" spans="1:10" x14ac:dyDescent="0.2">
      <c r="A236" s="4" t="s">
        <v>0</v>
      </c>
      <c r="B236" s="3" t="str">
        <f>HYPERLINK("https://otsuka-europe-crm.veevavault.com/ui/#object/approved_document__v/V5OZ025E82UM88X", "DACH (AT) HCP NPS Survey VAE 2025")</f>
        <v>DACH (AT) HCP NPS Survey VAE 2025</v>
      </c>
      <c r="C236" s="3" t="str">
        <f>HYPERLINK("https://otsuka-europe-crm.veevavault.com/ui/#object/sent_email__v/VBLZ025E82HJPZ5", "SE-000286911")</f>
        <v>SE-000286911</v>
      </c>
      <c r="D236" s="1" t="s">
        <v>1</v>
      </c>
      <c r="E236" s="2">
        <v>0</v>
      </c>
      <c r="F236" s="2">
        <v>0</v>
      </c>
      <c r="G236" s="2">
        <v>0</v>
      </c>
      <c r="H236" s="1" t="s">
        <v>1</v>
      </c>
      <c r="I236" s="2">
        <v>0</v>
      </c>
      <c r="J236" s="1">
        <v>45944.396319444444</v>
      </c>
    </row>
    <row r="237" spans="1:10" x14ac:dyDescent="0.2">
      <c r="A237" s="4" t="s">
        <v>0</v>
      </c>
      <c r="B237" s="3" t="str">
        <f>HYPERLINK("https://otsuka-europe-crm.veevavault.com/ui/#object/approved_document__v/V5OZ025E82UM88X", "DACH (AT) HCP NPS Survey VAE 2025")</f>
        <v>DACH (AT) HCP NPS Survey VAE 2025</v>
      </c>
      <c r="C237" s="3" t="str">
        <f>HYPERLINK("https://otsuka-europe-crm.veevavault.com/ui/#object/sent_email__v/VBLZ025E82HJQ1X", "SE-000286912")</f>
        <v>SE-000286912</v>
      </c>
      <c r="D237" s="1" t="s">
        <v>1</v>
      </c>
      <c r="E237" s="2">
        <v>0</v>
      </c>
      <c r="F237" s="2">
        <v>0</v>
      </c>
      <c r="G237" s="2">
        <v>0</v>
      </c>
      <c r="H237" s="1" t="s">
        <v>1</v>
      </c>
      <c r="I237" s="2">
        <v>0</v>
      </c>
      <c r="J237" s="1">
        <v>45944.397164351853</v>
      </c>
    </row>
    <row r="238" spans="1:10" x14ac:dyDescent="0.2">
      <c r="A238" s="4" t="s">
        <v>0</v>
      </c>
      <c r="B238" s="3" t="str">
        <f>HYPERLINK("https://otsuka-europe-crm.veevavault.com/ui/#object/approved_document__v/V5OZ025E82UM88X", "DACH (AT) HCP NPS Survey VAE 2025")</f>
        <v>DACH (AT) HCP NPS Survey VAE 2025</v>
      </c>
      <c r="C238" s="3" t="str">
        <f>HYPERLINK("https://otsuka-europe-crm.veevavault.com/ui/#object/sent_email__v/VBLZ025E82HJQ4P", "SE-000286913")</f>
        <v>SE-000286913</v>
      </c>
      <c r="D238" s="1">
        <v>45944.48033564815</v>
      </c>
      <c r="E238" s="2">
        <v>1</v>
      </c>
      <c r="F238" s="2">
        <v>1</v>
      </c>
      <c r="G238" s="2">
        <v>0</v>
      </c>
      <c r="H238" s="1" t="s">
        <v>1</v>
      </c>
      <c r="I238" s="2">
        <v>0</v>
      </c>
      <c r="J238" s="1">
        <v>45944.397511574076</v>
      </c>
    </row>
    <row r="239" spans="1:10" x14ac:dyDescent="0.2">
      <c r="A239" s="4" t="s">
        <v>0</v>
      </c>
      <c r="B239" s="3" t="str">
        <f>HYPERLINK("https://otsuka-europe-crm.veevavault.com/ui/#object/approved_document__v/V5OZ025E82UM88X", "DACH (AT) HCP NPS Survey VAE 2025")</f>
        <v>DACH (AT) HCP NPS Survey VAE 2025</v>
      </c>
      <c r="C239" s="3" t="str">
        <f>HYPERLINK("https://otsuka-europe-crm.veevavault.com/ui/#object/sent_email__v/VBLZ025E82HJQA9", "SE-000286914")</f>
        <v>SE-000286914</v>
      </c>
      <c r="D239" s="1">
        <v>45946.965891203705</v>
      </c>
      <c r="E239" s="2">
        <v>1</v>
      </c>
      <c r="F239" s="2">
        <v>3</v>
      </c>
      <c r="G239" s="2">
        <v>1</v>
      </c>
      <c r="H239" s="1">
        <v>45944.823344907411</v>
      </c>
      <c r="I239" s="2">
        <v>1</v>
      </c>
      <c r="J239" s="1">
        <v>45944.397881944446</v>
      </c>
    </row>
    <row r="240" spans="1:10" x14ac:dyDescent="0.2">
      <c r="A240" s="4" t="s">
        <v>0</v>
      </c>
      <c r="B240" s="3" t="str">
        <f>HYPERLINK("https://otsuka-europe-crm.veevavault.com/ui/#object/approved_document__v/V5OZ025E82UM88X", "DACH (AT) HCP NPS Survey VAE 2025")</f>
        <v>DACH (AT) HCP NPS Survey VAE 2025</v>
      </c>
      <c r="C240" s="3" t="str">
        <f>HYPERLINK("https://otsuka-europe-crm.veevavault.com/ui/#object/sent_email__v/VBLZ025E82HJQD1", "SE-000286915")</f>
        <v>SE-000286915</v>
      </c>
      <c r="D240" s="1" t="s">
        <v>1</v>
      </c>
      <c r="E240" s="2">
        <v>0</v>
      </c>
      <c r="F240" s="2">
        <v>0</v>
      </c>
      <c r="G240" s="2">
        <v>0</v>
      </c>
      <c r="H240" s="1" t="s">
        <v>1</v>
      </c>
      <c r="I240" s="2">
        <v>0</v>
      </c>
      <c r="J240" s="1">
        <v>45944.398356481484</v>
      </c>
    </row>
    <row r="241" spans="1:10" x14ac:dyDescent="0.2">
      <c r="A241" s="4" t="s">
        <v>0</v>
      </c>
      <c r="B241" s="3" t="str">
        <f>HYPERLINK("https://otsuka-europe-crm.veevavault.com/ui/#object/approved_document__v/V5OZ025E82UM88X", "DACH (AT) HCP NPS Survey VAE 2025")</f>
        <v>DACH (AT) HCP NPS Survey VAE 2025</v>
      </c>
      <c r="C241" s="3" t="str">
        <f>HYPERLINK("https://otsuka-europe-crm.veevavault.com/ui/#object/sent_email__v/VBLZ025E82HJQFT", "SE-000286916")</f>
        <v>SE-000286916</v>
      </c>
      <c r="D241" s="1" t="s">
        <v>1</v>
      </c>
      <c r="E241" s="2">
        <v>0</v>
      </c>
      <c r="F241" s="2">
        <v>0</v>
      </c>
      <c r="G241" s="2">
        <v>0</v>
      </c>
      <c r="H241" s="1" t="s">
        <v>1</v>
      </c>
      <c r="I241" s="2">
        <v>0</v>
      </c>
      <c r="J241" s="1">
        <v>45944.399039351854</v>
      </c>
    </row>
    <row r="242" spans="1:10" x14ac:dyDescent="0.2">
      <c r="A242" s="4" t="s">
        <v>0</v>
      </c>
      <c r="B242" s="3" t="str">
        <f>HYPERLINK("https://otsuka-europe-crm.veevavault.com/ui/#object/approved_document__v/V5OZ025E82UM88X", "DACH (AT) HCP NPS Survey VAE 2025")</f>
        <v>DACH (AT) HCP NPS Survey VAE 2025</v>
      </c>
      <c r="C242" s="3" t="str">
        <f>HYPERLINK("https://otsuka-europe-crm.veevavault.com/ui/#object/sent_email__v/VBLZ025E82HJQIL", "SE-000286917")</f>
        <v>SE-000286917</v>
      </c>
      <c r="D242" s="1" t="s">
        <v>1</v>
      </c>
      <c r="E242" s="2">
        <v>0</v>
      </c>
      <c r="F242" s="2">
        <v>0</v>
      </c>
      <c r="G242" s="2">
        <v>0</v>
      </c>
      <c r="H242" s="1" t="s">
        <v>1</v>
      </c>
      <c r="I242" s="2">
        <v>0</v>
      </c>
      <c r="J242" s="1">
        <v>45944.39943287037</v>
      </c>
    </row>
    <row r="243" spans="1:10" x14ac:dyDescent="0.2">
      <c r="A243" s="4" t="s">
        <v>0</v>
      </c>
      <c r="B243" s="3" t="str">
        <f>HYPERLINK("https://otsuka-europe-crm.veevavault.com/ui/#object/approved_document__v/V5OZ025E82UM88X", "DACH (AT) HCP NPS Survey VAE 2025")</f>
        <v>DACH (AT) HCP NPS Survey VAE 2025</v>
      </c>
      <c r="C243" s="3" t="str">
        <f>HYPERLINK("https://otsuka-europe-crm.veevavault.com/ui/#object/sent_email__v/VBLZ025E82HJQLD", "SE-000286918")</f>
        <v>SE-000286918</v>
      </c>
      <c r="D243" s="1" t="s">
        <v>1</v>
      </c>
      <c r="E243" s="2">
        <v>0</v>
      </c>
      <c r="F243" s="2">
        <v>0</v>
      </c>
      <c r="G243" s="2">
        <v>0</v>
      </c>
      <c r="H243" s="1" t="s">
        <v>1</v>
      </c>
      <c r="I243" s="2">
        <v>0</v>
      </c>
      <c r="J243" s="1">
        <v>45944.399918981479</v>
      </c>
    </row>
    <row r="244" spans="1:10" x14ac:dyDescent="0.2">
      <c r="A244" s="4" t="s">
        <v>0</v>
      </c>
      <c r="B244" s="3" t="str">
        <f>HYPERLINK("https://otsuka-europe-crm.veevavault.com/ui/#object/approved_document__v/V5OZ025E82UM88X", "DACH (AT) HCP NPS Survey VAE 2025")</f>
        <v>DACH (AT) HCP NPS Survey VAE 2025</v>
      </c>
      <c r="C244" s="3" t="str">
        <f>HYPERLINK("https://otsuka-europe-crm.veevavault.com/ui/#object/sent_email__v/VBLZ025E82HJQTP", "SE-000286919")</f>
        <v>SE-000286919</v>
      </c>
      <c r="D244" s="1">
        <v>45944.594259259262</v>
      </c>
      <c r="E244" s="2">
        <v>1</v>
      </c>
      <c r="F244" s="2">
        <v>1</v>
      </c>
      <c r="G244" s="2">
        <v>1</v>
      </c>
      <c r="H244" s="1">
        <v>45944.594259259262</v>
      </c>
      <c r="I244" s="2">
        <v>1</v>
      </c>
      <c r="J244" s="1">
        <v>45944.401006944441</v>
      </c>
    </row>
    <row r="245" spans="1:10" x14ac:dyDescent="0.2">
      <c r="A245" s="4" t="s">
        <v>0</v>
      </c>
      <c r="B245" s="3" t="str">
        <f>HYPERLINK("https://otsuka-europe-crm.veevavault.com/ui/#object/approved_document__v/V5OZ025E82UM88X", "DACH (AT) HCP NPS Survey VAE 2025")</f>
        <v>DACH (AT) HCP NPS Survey VAE 2025</v>
      </c>
      <c r="C245" s="3" t="str">
        <f>HYPERLINK("https://otsuka-europe-crm.veevavault.com/ui/#object/sent_email__v/VBLZ025E82HLXOL", "SE-000287864")</f>
        <v>SE-000287864</v>
      </c>
      <c r="D245" s="1" t="s">
        <v>1</v>
      </c>
      <c r="E245" s="2">
        <v>0</v>
      </c>
      <c r="F245" s="2">
        <v>0</v>
      </c>
      <c r="G245" s="2">
        <v>0</v>
      </c>
      <c r="H245" s="1" t="s">
        <v>1</v>
      </c>
      <c r="I245" s="2">
        <v>0</v>
      </c>
      <c r="J245" s="1">
        <v>45946.343124999999</v>
      </c>
    </row>
    <row r="246" spans="1:10" x14ac:dyDescent="0.2">
      <c r="A246" s="4" t="s">
        <v>0</v>
      </c>
      <c r="B246" s="3" t="str">
        <f>HYPERLINK("https://otsuka-europe-crm.veevavault.com/ui/#object/approved_document__v/V5OZ025E82UM88X", "DACH (AT) HCP NPS Survey VAE 2025")</f>
        <v>DACH (AT) HCP NPS Survey VAE 2025</v>
      </c>
      <c r="C246" s="3" t="str">
        <f>HYPERLINK("https://otsuka-europe-crm.veevavault.com/ui/#object/sent_email__v/VBLZ025E82HLXRD", "SE-000287865")</f>
        <v>SE-000287865</v>
      </c>
      <c r="D246" s="1" t="s">
        <v>1</v>
      </c>
      <c r="E246" s="2">
        <v>0</v>
      </c>
      <c r="F246" s="2">
        <v>0</v>
      </c>
      <c r="G246" s="2">
        <v>0</v>
      </c>
      <c r="H246" s="1" t="s">
        <v>1</v>
      </c>
      <c r="I246" s="2">
        <v>0</v>
      </c>
      <c r="J246" s="1">
        <v>45946.343668981484</v>
      </c>
    </row>
    <row r="247" spans="1:10" x14ac:dyDescent="0.2">
      <c r="A247" s="4" t="s">
        <v>0</v>
      </c>
      <c r="B247" s="3" t="str">
        <f>HYPERLINK("https://otsuka-europe-crm.veevavault.com/ui/#object/approved_document__v/V5OZ025E82UM88X", "DACH (AT) HCP NPS Survey VAE 2025")</f>
        <v>DACH (AT) HCP NPS Survey VAE 2025</v>
      </c>
      <c r="C247" s="3" t="str">
        <f>HYPERLINK("https://otsuka-europe-crm.veevavault.com/ui/#object/sent_email__v/VBLZ025E82HLXU5", "SE-000287866")</f>
        <v>SE-000287866</v>
      </c>
      <c r="D247" s="1" t="s">
        <v>1</v>
      </c>
      <c r="E247" s="2">
        <v>0</v>
      </c>
      <c r="F247" s="2">
        <v>0</v>
      </c>
      <c r="G247" s="2">
        <v>0</v>
      </c>
      <c r="H247" s="1" t="s">
        <v>1</v>
      </c>
      <c r="I247" s="2">
        <v>0</v>
      </c>
      <c r="J247" s="1">
        <v>45946.344166666669</v>
      </c>
    </row>
    <row r="248" spans="1:10" x14ac:dyDescent="0.2">
      <c r="A248" s="4" t="s">
        <v>0</v>
      </c>
      <c r="B248" s="3" t="str">
        <f>HYPERLINK("https://otsuka-europe-crm.veevavault.com/ui/#object/approved_document__v/V5OZ025E82UM88X", "DACH (AT) HCP NPS Survey VAE 2025")</f>
        <v>DACH (AT) HCP NPS Survey VAE 2025</v>
      </c>
      <c r="C248" s="3" t="str">
        <f>HYPERLINK("https://otsuka-europe-crm.veevavault.com/ui/#object/sent_email__v/VBLZ025E82HLXZP", "SE-000287868")</f>
        <v>SE-000287868</v>
      </c>
      <c r="D248" s="1" t="s">
        <v>1</v>
      </c>
      <c r="E248" s="2">
        <v>0</v>
      </c>
      <c r="F248" s="2">
        <v>0</v>
      </c>
      <c r="G248" s="2">
        <v>0</v>
      </c>
      <c r="H248" s="1" t="s">
        <v>1</v>
      </c>
      <c r="I248" s="2">
        <v>0</v>
      </c>
      <c r="J248" s="1">
        <v>45946.345462962963</v>
      </c>
    </row>
    <row r="249" spans="1:10" x14ac:dyDescent="0.2">
      <c r="A249" s="4" t="s">
        <v>0</v>
      </c>
      <c r="B249" s="3" t="str">
        <f>HYPERLINK("https://otsuka-europe-crm.veevavault.com/ui/#object/approved_document__v/V5OZ025E82UM88X", "DACH (AT) HCP NPS Survey VAE 2025")</f>
        <v>DACH (AT) HCP NPS Survey VAE 2025</v>
      </c>
      <c r="C249" s="3" t="str">
        <f>HYPERLINK("https://otsuka-europe-crm.veevavault.com/ui/#object/sent_email__v/VBLZ025E82HLY2H", "SE-000287869")</f>
        <v>SE-000287869</v>
      </c>
      <c r="D249" s="1" t="s">
        <v>1</v>
      </c>
      <c r="E249" s="2">
        <v>0</v>
      </c>
      <c r="F249" s="2">
        <v>0</v>
      </c>
      <c r="G249" s="2">
        <v>0</v>
      </c>
      <c r="H249" s="1" t="s">
        <v>1</v>
      </c>
      <c r="I249" s="2">
        <v>0</v>
      </c>
      <c r="J249" s="1">
        <v>45946.345983796295</v>
      </c>
    </row>
    <row r="250" spans="1:10" x14ac:dyDescent="0.2">
      <c r="A250" s="4" t="s">
        <v>0</v>
      </c>
      <c r="B250" s="3" t="str">
        <f>HYPERLINK("https://otsuka-europe-crm.veevavault.com/ui/#object/approved_document__v/V5OZ025E82UM88X", "DACH (AT) HCP NPS Survey VAE 2025")</f>
        <v>DACH (AT) HCP NPS Survey VAE 2025</v>
      </c>
      <c r="C250" s="3" t="str">
        <f>HYPERLINK("https://otsuka-europe-crm.veevavault.com/ui/#object/sent_email__v/VBLZ025E82HLY59", "SE-000287870")</f>
        <v>SE-000287870</v>
      </c>
      <c r="D250" s="1" t="s">
        <v>1</v>
      </c>
      <c r="E250" s="2">
        <v>0</v>
      </c>
      <c r="F250" s="2">
        <v>0</v>
      </c>
      <c r="G250" s="2">
        <v>0</v>
      </c>
      <c r="H250" s="1" t="s">
        <v>1</v>
      </c>
      <c r="I250" s="2">
        <v>0</v>
      </c>
      <c r="J250" s="1">
        <v>45946.346388888887</v>
      </c>
    </row>
    <row r="251" spans="1:10" x14ac:dyDescent="0.2">
      <c r="A251" s="4" t="s">
        <v>0</v>
      </c>
      <c r="B251" s="3" t="str">
        <f>HYPERLINK("https://otsuka-europe-crm.veevavault.com/ui/#object/approved_document__v/V5OZ025E82UM88X", "DACH (AT) HCP NPS Survey VAE 2025")</f>
        <v>DACH (AT) HCP NPS Survey VAE 2025</v>
      </c>
      <c r="C251" s="3" t="str">
        <f>HYPERLINK("https://otsuka-europe-crm.veevavault.com/ui/#object/sent_email__v/VBLZ025E82HLY81", "SE-000287871")</f>
        <v>SE-000287871</v>
      </c>
      <c r="D251" s="1" t="s">
        <v>1</v>
      </c>
      <c r="E251" s="2">
        <v>0</v>
      </c>
      <c r="F251" s="2">
        <v>0</v>
      </c>
      <c r="G251" s="2">
        <v>0</v>
      </c>
      <c r="H251" s="1" t="s">
        <v>1</v>
      </c>
      <c r="I251" s="2">
        <v>0</v>
      </c>
      <c r="J251" s="1">
        <v>45946.347002314818</v>
      </c>
    </row>
    <row r="252" spans="1:10" x14ac:dyDescent="0.2">
      <c r="A252" s="4" t="s">
        <v>0</v>
      </c>
      <c r="B252" s="3" t="str">
        <f>HYPERLINK("https://otsuka-europe-crm.veevavault.com/ui/#object/approved_document__v/V5OZ025E82UM88X", "DACH (AT) HCP NPS Survey VAE 2025")</f>
        <v>DACH (AT) HCP NPS Survey VAE 2025</v>
      </c>
      <c r="C252" s="3" t="str">
        <f>HYPERLINK("https://otsuka-europe-crm.veevavault.com/ui/#object/sent_email__v/VBLZ025E82HLYAT", "SE-000287872")</f>
        <v>SE-000287872</v>
      </c>
      <c r="D252" s="1" t="s">
        <v>1</v>
      </c>
      <c r="E252" s="2">
        <v>0</v>
      </c>
      <c r="F252" s="2">
        <v>0</v>
      </c>
      <c r="G252" s="2">
        <v>0</v>
      </c>
      <c r="H252" s="1" t="s">
        <v>1</v>
      </c>
      <c r="I252" s="2">
        <v>0</v>
      </c>
      <c r="J252" s="1">
        <v>45946.347488425927</v>
      </c>
    </row>
    <row r="253" spans="1:10" x14ac:dyDescent="0.2">
      <c r="A253" s="4" t="s">
        <v>0</v>
      </c>
      <c r="B253" s="3" t="str">
        <f>HYPERLINK("https://otsuka-europe-crm.veevavault.com/ui/#object/approved_document__v/V5OZ025E82UM88X", "DACH (AT) HCP NPS Survey VAE 2025")</f>
        <v>DACH (AT) HCP NPS Survey VAE 2025</v>
      </c>
      <c r="C253" s="3" t="str">
        <f>HYPERLINK("https://otsuka-europe-crm.veevavault.com/ui/#object/sent_email__v/VBLZ025E82HLYDL", "SE-000287873")</f>
        <v>SE-000287873</v>
      </c>
      <c r="D253" s="1" t="s">
        <v>1</v>
      </c>
      <c r="E253" s="2">
        <v>0</v>
      </c>
      <c r="F253" s="2">
        <v>0</v>
      </c>
      <c r="G253" s="2">
        <v>0</v>
      </c>
      <c r="H253" s="1" t="s">
        <v>1</v>
      </c>
      <c r="I253" s="2">
        <v>0</v>
      </c>
      <c r="J253" s="1">
        <v>45946.347962962966</v>
      </c>
    </row>
    <row r="254" spans="1:10" x14ac:dyDescent="0.2">
      <c r="A254" s="4" t="s">
        <v>0</v>
      </c>
      <c r="B254" s="3" t="str">
        <f>HYPERLINK("https://otsuka-europe-crm.veevavault.com/ui/#object/approved_document__v/V5OZ025E82UM88X", "DACH (AT) HCP NPS Survey VAE 2025")</f>
        <v>DACH (AT) HCP NPS Survey VAE 2025</v>
      </c>
      <c r="C254" s="3" t="str">
        <f>HYPERLINK("https://otsuka-europe-crm.veevavault.com/ui/#object/sent_email__v/VBLZ025E82HLYGD", "SE-000287874")</f>
        <v>SE-000287874</v>
      </c>
      <c r="D254" s="1" t="s">
        <v>1</v>
      </c>
      <c r="E254" s="2">
        <v>0</v>
      </c>
      <c r="F254" s="2">
        <v>0</v>
      </c>
      <c r="G254" s="2">
        <v>0</v>
      </c>
      <c r="H254" s="1" t="s">
        <v>1</v>
      </c>
      <c r="I254" s="2">
        <v>0</v>
      </c>
      <c r="J254" s="1">
        <v>45946.348553240743</v>
      </c>
    </row>
    <row r="255" spans="1:10" x14ac:dyDescent="0.2">
      <c r="A255" s="4" t="s">
        <v>0</v>
      </c>
      <c r="B255" s="3" t="str">
        <f>HYPERLINK("https://otsuka-europe-crm.veevavault.com/ui/#object/approved_document__v/V5OZ025E82UM88X", "DACH (AT) HCP NPS Survey VAE 2025")</f>
        <v>DACH (AT) HCP NPS Survey VAE 2025</v>
      </c>
      <c r="C255" s="3" t="str">
        <f>HYPERLINK("https://otsuka-europe-crm.veevavault.com/ui/#object/sent_email__v/VBLZ025E82HLYJ6", "SE-000287875")</f>
        <v>SE-000287875</v>
      </c>
      <c r="D255" s="1" t="s">
        <v>1</v>
      </c>
      <c r="E255" s="2">
        <v>0</v>
      </c>
      <c r="F255" s="2">
        <v>0</v>
      </c>
      <c r="G255" s="2">
        <v>0</v>
      </c>
      <c r="H255" s="1" t="s">
        <v>1</v>
      </c>
      <c r="I255" s="2">
        <v>0</v>
      </c>
      <c r="J255" s="1">
        <v>45946.349108796298</v>
      </c>
    </row>
    <row r="256" spans="1:10" x14ac:dyDescent="0.2">
      <c r="A256" s="4" t="s">
        <v>0</v>
      </c>
      <c r="B256" s="3" t="str">
        <f>HYPERLINK("https://otsuka-europe-crm.veevavault.com/ui/#object/approved_document__v/V5OZ025E82IECLL", "Disclosure-Consent__Veeva-CRM__AT")</f>
        <v>Disclosure-Consent__Veeva-CRM__AT</v>
      </c>
      <c r="C256" s="3" t="str">
        <f>HYPERLINK("https://otsuka-europe-crm.veevavault.com/ui/#object/sent_email__v/VBL000000003199", "SE-001379250")</f>
        <v>SE-001379250</v>
      </c>
      <c r="D256" s="1">
        <v>45959.472650462965</v>
      </c>
      <c r="E256" s="2">
        <v>1</v>
      </c>
      <c r="F256" s="2">
        <v>6</v>
      </c>
      <c r="G256" s="2">
        <v>1</v>
      </c>
      <c r="H256" s="1">
        <v>45959.472546296296</v>
      </c>
      <c r="I256" s="2">
        <v>2</v>
      </c>
      <c r="J256" s="1">
        <v>45959.462256944447</v>
      </c>
    </row>
    <row r="257" spans="1:10" x14ac:dyDescent="0.2">
      <c r="A257" s="4" t="s">
        <v>0</v>
      </c>
      <c r="B257" s="3" t="str">
        <f>HYPERLINK("https://otsuka-europe-crm.veevavault.com/ui/#object/approved_document__v/V5OZ025E82IECLL", "Disclosure-Consent__Veeva-CRM__AT")</f>
        <v>Disclosure-Consent__Veeva-CRM__AT</v>
      </c>
      <c r="C257" s="3" t="str">
        <f>HYPERLINK("https://otsuka-europe-crm.veevavault.com/ui/#object/sent_email__v/VBL000000015244", "SE-001400593")</f>
        <v>SE-001400593</v>
      </c>
      <c r="D257" s="1">
        <v>46063.517546296294</v>
      </c>
      <c r="E257" s="2">
        <v>1</v>
      </c>
      <c r="F257" s="2">
        <v>36</v>
      </c>
      <c r="G257" s="2">
        <v>0</v>
      </c>
      <c r="H257" s="1" t="s">
        <v>1</v>
      </c>
      <c r="I257" s="2">
        <v>0</v>
      </c>
      <c r="J257" s="1">
        <v>46043.424201388887</v>
      </c>
    </row>
    <row r="258" spans="1:10" x14ac:dyDescent="0.2">
      <c r="A258" s="4" t="s">
        <v>0</v>
      </c>
      <c r="B258" s="3" t="str">
        <f>HYPERLINK("https://otsuka-europe-crm.veevavault.com/ui/#object/approved_document__v/V5OZ025E82IECLL", "Disclosure-Consent__Veeva-CRM__AT")</f>
        <v>Disclosure-Consent__Veeva-CRM__AT</v>
      </c>
      <c r="C258" s="3" t="str">
        <f>HYPERLINK("https://otsuka-europe-crm.veevavault.com/ui/#object/sent_email__v/VBL000000016373", "SE-001400635")</f>
        <v>SE-001400635</v>
      </c>
      <c r="D258" s="1">
        <v>46043.432349537034</v>
      </c>
      <c r="E258" s="2">
        <v>1</v>
      </c>
      <c r="F258" s="2">
        <v>1</v>
      </c>
      <c r="G258" s="2">
        <v>1</v>
      </c>
      <c r="H258" s="1">
        <v>46043.432349537034</v>
      </c>
      <c r="I258" s="2">
        <v>1</v>
      </c>
      <c r="J258" s="1">
        <v>46043.432141203702</v>
      </c>
    </row>
    <row r="259" spans="1:10" x14ac:dyDescent="0.2">
      <c r="A259" s="4" t="s">
        <v>0</v>
      </c>
      <c r="B259" s="3" t="str">
        <f>HYPERLINK("https://otsuka-europe-crm.veevavault.com/ui/#object/approved_document__v/V5O00000000S009", "INA VAE AT EREP – EL OeGHO 2026 Bregenz")</f>
        <v>INA VAE AT EREP – EL OeGHO 2026 Bregenz</v>
      </c>
      <c r="C259" s="3" t="str">
        <f>HYPERLINK("https://otsuka-europe-crm.veevavault.com/ui/#object/sent_email__v/VBL00000001F347", "SE-001406025")</f>
        <v>SE-001406025</v>
      </c>
      <c r="D259" s="1" t="s">
        <v>1</v>
      </c>
      <c r="E259" s="2">
        <v>0</v>
      </c>
      <c r="F259" s="2">
        <v>0</v>
      </c>
      <c r="G259" s="2">
        <v>0</v>
      </c>
      <c r="H259" s="1" t="s">
        <v>1</v>
      </c>
      <c r="I259" s="2">
        <v>0</v>
      </c>
      <c r="J259" s="1">
        <v>46077.614224537036</v>
      </c>
    </row>
    <row r="260" spans="1:10" x14ac:dyDescent="0.2">
      <c r="A260" s="4" t="s">
        <v>0</v>
      </c>
      <c r="B260" s="3" t="str">
        <f>HYPERLINK("https://otsuka-europe-crm.veevavault.com/ui/#object/approved_document__v/V5O00000000S009", "INA VAE AT EREP – EL OeGHO 2026 Bregenz")</f>
        <v>INA VAE AT EREP – EL OeGHO 2026 Bregenz</v>
      </c>
      <c r="C260" s="3" t="str">
        <f>HYPERLINK("https://otsuka-europe-crm.veevavault.com/ui/#object/sent_email__v/VBL00000001F509", "SE-001406430")</f>
        <v>SE-001406430</v>
      </c>
      <c r="D260" s="1" t="s">
        <v>1</v>
      </c>
      <c r="E260" s="2">
        <v>0</v>
      </c>
      <c r="F260" s="2">
        <v>0</v>
      </c>
      <c r="G260" s="2">
        <v>0</v>
      </c>
      <c r="H260" s="1" t="s">
        <v>1</v>
      </c>
      <c r="I260" s="2">
        <v>0</v>
      </c>
      <c r="J260" s="1">
        <v>46078.37976851852</v>
      </c>
    </row>
    <row r="261" spans="1:10" x14ac:dyDescent="0.2">
      <c r="A261" s="4" t="s">
        <v>0</v>
      </c>
      <c r="B261" s="3" t="str">
        <f>HYPERLINK("https://otsuka-europe-crm.veevavault.com/ui/#object/approved_document__v/V5O00000000S009", "INA VAE AT EREP – EL OeGHO 2026 Bregenz")</f>
        <v>INA VAE AT EREP – EL OeGHO 2026 Bregenz</v>
      </c>
      <c r="C261" s="3" t="str">
        <f>HYPERLINK("https://otsuka-europe-crm.veevavault.com/ui/#object/sent_email__v/VBL00000001F527", "SE-001406516")</f>
        <v>SE-001406516</v>
      </c>
      <c r="D261" s="1" t="s">
        <v>1</v>
      </c>
      <c r="E261" s="2">
        <v>0</v>
      </c>
      <c r="F261" s="2">
        <v>0</v>
      </c>
      <c r="G261" s="2">
        <v>0</v>
      </c>
      <c r="H261" s="1" t="s">
        <v>1</v>
      </c>
      <c r="I261" s="2">
        <v>0</v>
      </c>
      <c r="J261" s="1">
        <v>46078.442974537036</v>
      </c>
    </row>
    <row r="262" spans="1:10" x14ac:dyDescent="0.2">
      <c r="A262" s="4" t="s">
        <v>0</v>
      </c>
      <c r="B262" s="3" t="str">
        <f>HYPERLINK("https://otsuka-europe-crm.veevavault.com/ui/#object/approved_document__v/V5OZ025E82LMH05", "INA VAE AT E-REP - Neues vom DGHO: Orale Therapie für unfitte AML-Patienten")</f>
        <v>INA VAE AT E-REP - Neues vom DGHO: Orale Therapie für unfitte AML-Patienten</v>
      </c>
      <c r="C262" s="3" t="str">
        <f>HYPERLINK("https://otsuka-europe-crm.veevavault.com/ui/#object/sent_email__v/VBLZ025E82HPVI5", "SE-000288841")</f>
        <v>SE-000288841</v>
      </c>
      <c r="D262" s="1" t="s">
        <v>1</v>
      </c>
      <c r="E262" s="2">
        <v>0</v>
      </c>
      <c r="F262" s="2">
        <v>0</v>
      </c>
      <c r="G262" s="2">
        <v>0</v>
      </c>
      <c r="H262" s="1" t="s">
        <v>1</v>
      </c>
      <c r="I262" s="2">
        <v>0</v>
      </c>
      <c r="J262" s="1">
        <v>45951.342164351852</v>
      </c>
    </row>
    <row r="263" spans="1:10" x14ac:dyDescent="0.2">
      <c r="A263" s="4" t="s">
        <v>0</v>
      </c>
      <c r="B263" s="3" t="str">
        <f>HYPERLINK("https://otsuka-europe-crm.veevavault.com/ui/#object/approved_document__v/V5O00000000I025", "INA VAE AT EREP - Sopro ÖÄZ 2025 Experteninterview Dr. Verena Petzer")</f>
        <v>INA VAE AT EREP - Sopro ÖÄZ 2025 Experteninterview Dr. Verena Petzer</v>
      </c>
      <c r="C263" s="3" t="str">
        <f>HYPERLINK("https://otsuka-europe-crm.veevavault.com/ui/#object/sent_email__v/VBL00000001G231", "SE-001405426")</f>
        <v>SE-001405426</v>
      </c>
      <c r="D263" s="1" t="s">
        <v>1</v>
      </c>
      <c r="E263" s="2">
        <v>0</v>
      </c>
      <c r="F263" s="2">
        <v>0</v>
      </c>
      <c r="G263" s="2">
        <v>0</v>
      </c>
      <c r="H263" s="1" t="s">
        <v>1</v>
      </c>
      <c r="I263" s="2">
        <v>0</v>
      </c>
      <c r="J263" s="1">
        <v>46073.590243055558</v>
      </c>
    </row>
    <row r="264" spans="1:10" x14ac:dyDescent="0.2">
      <c r="A264" s="4" t="s">
        <v>0</v>
      </c>
      <c r="B264" s="3" t="str">
        <f>HYPERLINK("https://otsuka-europe-crm.veevavault.com/ui/#object/approved_document__v/V5OZ025E82UUDM3", "INA VAE AT GRIMALDI - EHA NL – Versand")</f>
        <v>INA VAE AT GRIMALDI - EHA NL – Versand</v>
      </c>
      <c r="C264" s="3" t="str">
        <f>HYPERLINK("https://otsuka-europe-crm.veevavault.com/ui/#object/sent_email__v/VBL00000000E518", "SE-001384099")</f>
        <v>SE-001384099</v>
      </c>
      <c r="D264" s="1" t="s">
        <v>1</v>
      </c>
      <c r="E264" s="2">
        <v>0</v>
      </c>
      <c r="F264" s="2">
        <v>0</v>
      </c>
      <c r="G264" s="2">
        <v>0</v>
      </c>
      <c r="H264" s="1" t="s">
        <v>1</v>
      </c>
      <c r="I264" s="2">
        <v>0</v>
      </c>
      <c r="J264" s="1">
        <v>45971.443020833336</v>
      </c>
    </row>
    <row r="265" spans="1:10" x14ac:dyDescent="0.2">
      <c r="A265" s="4" t="s">
        <v>0</v>
      </c>
      <c r="B265" s="3" t="str">
        <f>HYPERLINK("https://otsuka-europe-crm.veevavault.com/ui/#object/approved_document__v/V5OZ025E82UUDM3", "INA VAE AT GRIMALDI - EHA NL – Versand")</f>
        <v>INA VAE AT GRIMALDI - EHA NL – Versand</v>
      </c>
      <c r="C265" s="3" t="str">
        <f>HYPERLINK("https://otsuka-europe-crm.veevavault.com/ui/#object/sent_email__v/VBL00000000E519", "SE-001384101")</f>
        <v>SE-001384101</v>
      </c>
      <c r="D265" s="1">
        <v>45972.881192129629</v>
      </c>
      <c r="E265" s="2">
        <v>1</v>
      </c>
      <c r="F265" s="2">
        <v>1</v>
      </c>
      <c r="G265" s="2">
        <v>0</v>
      </c>
      <c r="H265" s="1" t="s">
        <v>1</v>
      </c>
      <c r="I265" s="2">
        <v>0</v>
      </c>
      <c r="J265" s="1">
        <v>45971.444305555553</v>
      </c>
    </row>
    <row r="266" spans="1:10" x14ac:dyDescent="0.2">
      <c r="A266" s="4" t="s">
        <v>0</v>
      </c>
      <c r="B266" s="3" t="str">
        <f>HYPERLINK("https://otsuka-europe-crm.veevavault.com/ui/#object/approved_document__v/V5OZ025E82UUDM3", "INA VAE AT GRIMALDI - EHA NL – Versand")</f>
        <v>INA VAE AT GRIMALDI - EHA NL – Versand</v>
      </c>
      <c r="C266" s="3" t="str">
        <f>HYPERLINK("https://otsuka-europe-crm.veevavault.com/ui/#object/sent_email__v/VBL00000000E520", "SE-001384102")</f>
        <v>SE-001384102</v>
      </c>
      <c r="D266" s="1" t="s">
        <v>1</v>
      </c>
      <c r="E266" s="2">
        <v>0</v>
      </c>
      <c r="F266" s="2">
        <v>0</v>
      </c>
      <c r="G266" s="2">
        <v>0</v>
      </c>
      <c r="H266" s="1" t="s">
        <v>1</v>
      </c>
      <c r="I266" s="2">
        <v>0</v>
      </c>
      <c r="J266" s="1">
        <v>45971.444699074076</v>
      </c>
    </row>
    <row r="267" spans="1:10" x14ac:dyDescent="0.2">
      <c r="A267" s="4" t="s">
        <v>0</v>
      </c>
      <c r="B267" s="3" t="str">
        <f>HYPERLINK("https://otsuka-europe-crm.veevavault.com/ui/#object/approved_document__v/V5OZ025E82UUDM3", "INA VAE AT GRIMALDI - EHA NL – Versand")</f>
        <v>INA VAE AT GRIMALDI - EHA NL – Versand</v>
      </c>
      <c r="C267" s="3" t="str">
        <f>HYPERLINK("https://otsuka-europe-crm.veevavault.com/ui/#object/sent_email__v/VBL00000000E521", "SE-001384103")</f>
        <v>SE-001384103</v>
      </c>
      <c r="D267" s="1" t="s">
        <v>1</v>
      </c>
      <c r="E267" s="2">
        <v>0</v>
      </c>
      <c r="F267" s="2">
        <v>0</v>
      </c>
      <c r="G267" s="2">
        <v>0</v>
      </c>
      <c r="H267" s="1" t="s">
        <v>1</v>
      </c>
      <c r="I267" s="2">
        <v>0</v>
      </c>
      <c r="J267" s="1">
        <v>45971.445150462961</v>
      </c>
    </row>
    <row r="268" spans="1:10" x14ac:dyDescent="0.2">
      <c r="A268" s="4" t="s">
        <v>0</v>
      </c>
      <c r="B268" s="3" t="str">
        <f>HYPERLINK("https://otsuka-europe-crm.veevavault.com/ui/#object/approved_document__v/V5OZ025E82UUDM3", "INA VAE AT GRIMALDI - EHA NL – Versand")</f>
        <v>INA VAE AT GRIMALDI - EHA NL – Versand</v>
      </c>
      <c r="C268" s="3" t="str">
        <f>HYPERLINK("https://otsuka-europe-crm.veevavault.com/ui/#object/sent_email__v/VBL00000000E522", "SE-001384104")</f>
        <v>SE-001384104</v>
      </c>
      <c r="D268" s="1" t="s">
        <v>1</v>
      </c>
      <c r="E268" s="2">
        <v>0</v>
      </c>
      <c r="F268" s="2">
        <v>0</v>
      </c>
      <c r="G268" s="2">
        <v>0</v>
      </c>
      <c r="H268" s="1" t="s">
        <v>1</v>
      </c>
      <c r="I268" s="2">
        <v>0</v>
      </c>
      <c r="J268" s="1">
        <v>45971.445567129631</v>
      </c>
    </row>
    <row r="269" spans="1:10" x14ac:dyDescent="0.2">
      <c r="A269" s="4" t="s">
        <v>0</v>
      </c>
      <c r="B269" s="3" t="str">
        <f>HYPERLINK("https://otsuka-europe-crm.veevavault.com/ui/#object/approved_document__v/V5OZ025E82UUDM3", "INA VAE AT GRIMALDI - EHA NL – Versand")</f>
        <v>INA VAE AT GRIMALDI - EHA NL – Versand</v>
      </c>
      <c r="C269" s="3" t="str">
        <f>HYPERLINK("https://otsuka-europe-crm.veevavault.com/ui/#object/sent_email__v/VBL00000000E523", "SE-001384105")</f>
        <v>SE-001384105</v>
      </c>
      <c r="D269" s="1" t="s">
        <v>1</v>
      </c>
      <c r="E269" s="2">
        <v>0</v>
      </c>
      <c r="F269" s="2">
        <v>0</v>
      </c>
      <c r="G269" s="2">
        <v>0</v>
      </c>
      <c r="H269" s="1" t="s">
        <v>1</v>
      </c>
      <c r="I269" s="2">
        <v>0</v>
      </c>
      <c r="J269" s="1">
        <v>45971.446053240739</v>
      </c>
    </row>
    <row r="270" spans="1:10" x14ac:dyDescent="0.2">
      <c r="A270" s="4" t="s">
        <v>0</v>
      </c>
      <c r="B270" s="3" t="str">
        <f>HYPERLINK("https://otsuka-europe-crm.veevavault.com/ui/#object/approved_document__v/V5OZ025E82UUDM3", "INA VAE AT GRIMALDI - EHA NL – Versand")</f>
        <v>INA VAE AT GRIMALDI - EHA NL – Versand</v>
      </c>
      <c r="C270" s="3" t="str">
        <f>HYPERLINK("https://otsuka-europe-crm.veevavault.com/ui/#object/sent_email__v/VBL00000000E524", "SE-001384106")</f>
        <v>SE-001384106</v>
      </c>
      <c r="D270" s="1">
        <v>45979.503506944442</v>
      </c>
      <c r="E270" s="2">
        <v>1</v>
      </c>
      <c r="F270" s="2">
        <v>1</v>
      </c>
      <c r="G270" s="2">
        <v>0</v>
      </c>
      <c r="H270" s="1" t="s">
        <v>1</v>
      </c>
      <c r="I270" s="2">
        <v>0</v>
      </c>
      <c r="J270" s="1">
        <v>45971.446342592593</v>
      </c>
    </row>
    <row r="271" spans="1:10" x14ac:dyDescent="0.2">
      <c r="A271" s="4" t="s">
        <v>0</v>
      </c>
      <c r="B271" s="3" t="str">
        <f>HYPERLINK("https://otsuka-europe-crm.veevavault.com/ui/#object/approved_document__v/V5OZ025E82UUDM3", "INA VAE AT GRIMALDI - EHA NL – Versand")</f>
        <v>INA VAE AT GRIMALDI - EHA NL – Versand</v>
      </c>
      <c r="C271" s="3" t="str">
        <f>HYPERLINK("https://otsuka-europe-crm.veevavault.com/ui/#object/sent_email__v/VBL00000000E525", "SE-001384107")</f>
        <v>SE-001384107</v>
      </c>
      <c r="D271" s="1">
        <v>45971.714560185188</v>
      </c>
      <c r="E271" s="2">
        <v>1</v>
      </c>
      <c r="F271" s="2">
        <v>1</v>
      </c>
      <c r="G271" s="2">
        <v>0</v>
      </c>
      <c r="H271" s="1" t="s">
        <v>1</v>
      </c>
      <c r="I271" s="2">
        <v>0</v>
      </c>
      <c r="J271" s="1">
        <v>45971.446805555555</v>
      </c>
    </row>
    <row r="272" spans="1:10" x14ac:dyDescent="0.2">
      <c r="A272" s="4" t="s">
        <v>0</v>
      </c>
      <c r="B272" s="3" t="str">
        <f>HYPERLINK("https://otsuka-europe-crm.veevavault.com/ui/#object/approved_document__v/V5OZ025E82UUDM3", "INA VAE AT GRIMALDI - EHA NL – Versand")</f>
        <v>INA VAE AT GRIMALDI - EHA NL – Versand</v>
      </c>
      <c r="C272" s="3" t="str">
        <f>HYPERLINK("https://otsuka-europe-crm.veevavault.com/ui/#object/sent_email__v/VBL00000000E526", "SE-001384108")</f>
        <v>SE-001384108</v>
      </c>
      <c r="D272" s="1" t="s">
        <v>1</v>
      </c>
      <c r="E272" s="2">
        <v>0</v>
      </c>
      <c r="F272" s="2">
        <v>0</v>
      </c>
      <c r="G272" s="2">
        <v>0</v>
      </c>
      <c r="H272" s="1" t="s">
        <v>1</v>
      </c>
      <c r="I272" s="2">
        <v>0</v>
      </c>
      <c r="J272" s="1">
        <v>45971.447233796294</v>
      </c>
    </row>
    <row r="273" spans="1:10" x14ac:dyDescent="0.2">
      <c r="A273" s="4" t="s">
        <v>0</v>
      </c>
      <c r="B273" s="3" t="str">
        <f>HYPERLINK("https://otsuka-europe-crm.veevavault.com/ui/#object/approved_document__v/V5OZ025E82UUDM3", "INA VAE AT GRIMALDI - EHA NL – Versand")</f>
        <v>INA VAE AT GRIMALDI - EHA NL – Versand</v>
      </c>
      <c r="C273" s="3" t="str">
        <f>HYPERLINK("https://otsuka-europe-crm.veevavault.com/ui/#object/sent_email__v/VBL00000000E528", "SE-001384110")</f>
        <v>SE-001384110</v>
      </c>
      <c r="D273" s="1" t="s">
        <v>1</v>
      </c>
      <c r="E273" s="2">
        <v>0</v>
      </c>
      <c r="F273" s="2">
        <v>0</v>
      </c>
      <c r="G273" s="2">
        <v>0</v>
      </c>
      <c r="H273" s="1" t="s">
        <v>1</v>
      </c>
      <c r="I273" s="2">
        <v>0</v>
      </c>
      <c r="J273" s="1">
        <v>45971.448020833333</v>
      </c>
    </row>
    <row r="274" spans="1:10" x14ac:dyDescent="0.2">
      <c r="A274" s="4" t="s">
        <v>0</v>
      </c>
      <c r="B274" s="3" t="str">
        <f>HYPERLINK("https://otsuka-europe-crm.veevavault.com/ui/#object/approved_document__v/V5OZ025E82UUDM3", "INA VAE AT GRIMALDI - EHA NL – Versand")</f>
        <v>INA VAE AT GRIMALDI - EHA NL – Versand</v>
      </c>
      <c r="C274" s="3" t="str">
        <f>HYPERLINK("https://otsuka-europe-crm.veevavault.com/ui/#object/sent_email__v/VBL00000000E529", "SE-001384111")</f>
        <v>SE-001384111</v>
      </c>
      <c r="D274" s="1">
        <v>45971.780601851853</v>
      </c>
      <c r="E274" s="2">
        <v>1</v>
      </c>
      <c r="F274" s="2">
        <v>3</v>
      </c>
      <c r="G274" s="2">
        <v>0</v>
      </c>
      <c r="H274" s="1" t="s">
        <v>1</v>
      </c>
      <c r="I274" s="2">
        <v>0</v>
      </c>
      <c r="J274" s="1">
        <v>45971.448078703703</v>
      </c>
    </row>
    <row r="275" spans="1:10" x14ac:dyDescent="0.2">
      <c r="A275" s="4" t="s">
        <v>0</v>
      </c>
      <c r="B275" s="3" t="str">
        <f>HYPERLINK("https://otsuka-europe-crm.veevavault.com/ui/#object/approved_document__v/V5OZ025E82UUDM3", "INA VAE AT GRIMALDI - EHA NL – Versand")</f>
        <v>INA VAE AT GRIMALDI - EHA NL – Versand</v>
      </c>
      <c r="C275" s="3" t="str">
        <f>HYPERLINK("https://otsuka-europe-crm.veevavault.com/ui/#object/sent_email__v/VBL00000000E530", "SE-001384112")</f>
        <v>SE-001384112</v>
      </c>
      <c r="D275" s="1">
        <v>45971.449004629627</v>
      </c>
      <c r="E275" s="2">
        <v>1</v>
      </c>
      <c r="F275" s="2">
        <v>1</v>
      </c>
      <c r="G275" s="2">
        <v>0</v>
      </c>
      <c r="H275" s="1" t="s">
        <v>1</v>
      </c>
      <c r="I275" s="2">
        <v>0</v>
      </c>
      <c r="J275" s="1">
        <v>45971.448877314811</v>
      </c>
    </row>
    <row r="276" spans="1:10" x14ac:dyDescent="0.2">
      <c r="A276" s="4" t="s">
        <v>0</v>
      </c>
      <c r="B276" s="3" t="str">
        <f>HYPERLINK("https://otsuka-europe-crm.veevavault.com/ui/#object/approved_document__v/V5OZ025E82UUDM3", "INA VAE AT GRIMALDI - EHA NL – Versand")</f>
        <v>INA VAE AT GRIMALDI - EHA NL – Versand</v>
      </c>
      <c r="C276" s="3" t="str">
        <f>HYPERLINK("https://otsuka-europe-crm.veevavault.com/ui/#object/sent_email__v/VBL00000000E531", "SE-001384113")</f>
        <v>SE-001384113</v>
      </c>
      <c r="D276" s="1" t="s">
        <v>1</v>
      </c>
      <c r="E276" s="2">
        <v>0</v>
      </c>
      <c r="F276" s="2">
        <v>0</v>
      </c>
      <c r="G276" s="2">
        <v>0</v>
      </c>
      <c r="H276" s="1" t="s">
        <v>1</v>
      </c>
      <c r="I276" s="2">
        <v>0</v>
      </c>
      <c r="J276" s="1">
        <v>45971.449259259258</v>
      </c>
    </row>
    <row r="277" spans="1:10" x14ac:dyDescent="0.2">
      <c r="A277" s="4" t="s">
        <v>0</v>
      </c>
      <c r="B277" s="3" t="str">
        <f>HYPERLINK("https://otsuka-europe-crm.veevavault.com/ui/#object/approved_document__v/V5OZ025E82UUDM3", "INA VAE AT GRIMALDI - EHA NL – Versand")</f>
        <v>INA VAE AT GRIMALDI - EHA NL – Versand</v>
      </c>
      <c r="C277" s="3" t="str">
        <f>HYPERLINK("https://otsuka-europe-crm.veevavault.com/ui/#object/sent_email__v/VBL00000000D329", "SE-001384114")</f>
        <v>SE-001384114</v>
      </c>
      <c r="D277" s="1">
        <v>45971.669490740744</v>
      </c>
      <c r="E277" s="2">
        <v>1</v>
      </c>
      <c r="F277" s="2">
        <v>1</v>
      </c>
      <c r="G277" s="2">
        <v>0</v>
      </c>
      <c r="H277" s="1" t="s">
        <v>1</v>
      </c>
      <c r="I277" s="2">
        <v>0</v>
      </c>
      <c r="J277" s="1">
        <v>45971.450601851851</v>
      </c>
    </row>
    <row r="278" spans="1:10" x14ac:dyDescent="0.2">
      <c r="A278" s="4" t="s">
        <v>0</v>
      </c>
      <c r="B278" s="3" t="str">
        <f>HYPERLINK("https://otsuka-europe-crm.veevavault.com/ui/#object/approved_document__v/V5OZ025E82UUDM3", "INA VAE AT GRIMALDI - EHA NL – Versand")</f>
        <v>INA VAE AT GRIMALDI - EHA NL – Versand</v>
      </c>
      <c r="C278" s="3" t="str">
        <f>HYPERLINK("https://otsuka-europe-crm.veevavault.com/ui/#object/sent_email__v/VBL00000000E532", "SE-001384115")</f>
        <v>SE-001384115</v>
      </c>
      <c r="D278" s="1" t="s">
        <v>1</v>
      </c>
      <c r="E278" s="2">
        <v>0</v>
      </c>
      <c r="F278" s="2">
        <v>0</v>
      </c>
      <c r="G278" s="2">
        <v>0</v>
      </c>
      <c r="H278" s="1" t="s">
        <v>1</v>
      </c>
      <c r="I278" s="2">
        <v>0</v>
      </c>
      <c r="J278" s="1">
        <v>45971.45103009259</v>
      </c>
    </row>
    <row r="279" spans="1:10" x14ac:dyDescent="0.2">
      <c r="A279" s="4" t="s">
        <v>0</v>
      </c>
      <c r="B279" s="3" t="str">
        <f>HYPERLINK("https://otsuka-europe-crm.veevavault.com/ui/#object/approved_document__v/V5OZ025E82UUDM3", "INA VAE AT GRIMALDI - EHA NL – Versand")</f>
        <v>INA VAE AT GRIMALDI - EHA NL – Versand</v>
      </c>
      <c r="C279" s="3" t="str">
        <f>HYPERLINK("https://otsuka-europe-crm.veevavault.com/ui/#object/sent_email__v/VBL00000000D330", "SE-001384116")</f>
        <v>SE-001384116</v>
      </c>
      <c r="D279" s="1" t="s">
        <v>1</v>
      </c>
      <c r="E279" s="2">
        <v>0</v>
      </c>
      <c r="F279" s="2">
        <v>0</v>
      </c>
      <c r="G279" s="2">
        <v>0</v>
      </c>
      <c r="H279" s="1" t="s">
        <v>1</v>
      </c>
      <c r="I279" s="2">
        <v>0</v>
      </c>
      <c r="J279" s="1">
        <v>45971.451516203706</v>
      </c>
    </row>
    <row r="280" spans="1:10" x14ac:dyDescent="0.2">
      <c r="A280" s="4" t="s">
        <v>0</v>
      </c>
      <c r="B280" s="3" t="str">
        <f>HYPERLINK("https://otsuka-europe-crm.veevavault.com/ui/#object/approved_document__v/V5OZ025E82UUDM3", "INA VAE AT GRIMALDI - EHA NL – Versand")</f>
        <v>INA VAE AT GRIMALDI - EHA NL – Versand</v>
      </c>
      <c r="C280" s="3" t="str">
        <f>HYPERLINK("https://otsuka-europe-crm.veevavault.com/ui/#object/sent_email__v/VBL00000000E533", "SE-001384117")</f>
        <v>SE-001384117</v>
      </c>
      <c r="D280" s="1" t="s">
        <v>1</v>
      </c>
      <c r="E280" s="2">
        <v>0</v>
      </c>
      <c r="F280" s="2">
        <v>0</v>
      </c>
      <c r="G280" s="2">
        <v>0</v>
      </c>
      <c r="H280" s="1" t="s">
        <v>1</v>
      </c>
      <c r="I280" s="2">
        <v>0</v>
      </c>
      <c r="J280" s="1">
        <v>45971.451874999999</v>
      </c>
    </row>
    <row r="281" spans="1:10" x14ac:dyDescent="0.2">
      <c r="A281" s="4" t="s">
        <v>0</v>
      </c>
      <c r="B281" s="3" t="str">
        <f>HYPERLINK("https://otsuka-europe-crm.veevavault.com/ui/#object/approved_document__v/V5OZ025E82UUDM3", "INA VAE AT GRIMALDI - EHA NL – Versand")</f>
        <v>INA VAE AT GRIMALDI - EHA NL – Versand</v>
      </c>
      <c r="C281" s="3" t="str">
        <f>HYPERLINK("https://otsuka-europe-crm.veevavault.com/ui/#object/sent_email__v/VBL00000000D331", "SE-001384118")</f>
        <v>SE-001384118</v>
      </c>
      <c r="D281" s="1" t="s">
        <v>1</v>
      </c>
      <c r="E281" s="2">
        <v>0</v>
      </c>
      <c r="F281" s="2">
        <v>0</v>
      </c>
      <c r="G281" s="2">
        <v>0</v>
      </c>
      <c r="H281" s="1" t="s">
        <v>1</v>
      </c>
      <c r="I281" s="2">
        <v>0</v>
      </c>
      <c r="J281" s="1">
        <v>45971.452476851853</v>
      </c>
    </row>
    <row r="282" spans="1:10" x14ac:dyDescent="0.2">
      <c r="A282" s="4" t="s">
        <v>0</v>
      </c>
      <c r="B282" s="3" t="str">
        <f>HYPERLINK("https://otsuka-europe-crm.veevavault.com/ui/#object/approved_document__v/V5OZ025E82UUDM3", "INA VAE AT GRIMALDI - EHA NL – Versand")</f>
        <v>INA VAE AT GRIMALDI - EHA NL – Versand</v>
      </c>
      <c r="C282" s="3" t="str">
        <f>HYPERLINK("https://otsuka-europe-crm.veevavault.com/ui/#object/sent_email__v/VBL00000000D332", "SE-001384119")</f>
        <v>SE-001384119</v>
      </c>
      <c r="D282" s="1" t="s">
        <v>1</v>
      </c>
      <c r="E282" s="2">
        <v>0</v>
      </c>
      <c r="F282" s="2">
        <v>0</v>
      </c>
      <c r="G282" s="2">
        <v>0</v>
      </c>
      <c r="H282" s="1" t="s">
        <v>1</v>
      </c>
      <c r="I282" s="2">
        <v>0</v>
      </c>
      <c r="J282" s="1">
        <v>45971.453148148146</v>
      </c>
    </row>
    <row r="283" spans="1:10" x14ac:dyDescent="0.2">
      <c r="A283" s="4" t="s">
        <v>0</v>
      </c>
      <c r="B283" s="3" t="str">
        <f>HYPERLINK("https://otsuka-europe-crm.veevavault.com/ui/#object/approved_document__v/V5OZ025E82UUDM3", "INA VAE AT GRIMALDI - EHA NL – Versand")</f>
        <v>INA VAE AT GRIMALDI - EHA NL – Versand</v>
      </c>
      <c r="C283" s="3" t="str">
        <f>HYPERLINK("https://otsuka-europe-crm.veevavault.com/ui/#object/sent_email__v/VBL00000000D333", "SE-001384120")</f>
        <v>SE-001384120</v>
      </c>
      <c r="D283" s="1" t="s">
        <v>1</v>
      </c>
      <c r="E283" s="2">
        <v>0</v>
      </c>
      <c r="F283" s="2">
        <v>0</v>
      </c>
      <c r="G283" s="2">
        <v>0</v>
      </c>
      <c r="H283" s="1" t="s">
        <v>1</v>
      </c>
      <c r="I283" s="2">
        <v>0</v>
      </c>
      <c r="J283" s="1">
        <v>45971.453576388885</v>
      </c>
    </row>
    <row r="284" spans="1:10" x14ac:dyDescent="0.2">
      <c r="A284" s="4" t="s">
        <v>0</v>
      </c>
      <c r="B284" s="3" t="str">
        <f>HYPERLINK("https://otsuka-europe-crm.veevavault.com/ui/#object/approved_document__v/V5OZ025E82UUDM3", "INA VAE AT GRIMALDI - EHA NL – Versand")</f>
        <v>INA VAE AT GRIMALDI - EHA NL – Versand</v>
      </c>
      <c r="C284" s="3" t="str">
        <f>HYPERLINK("https://otsuka-europe-crm.veevavault.com/ui/#object/sent_email__v/VBL00000000D334", "SE-001384121")</f>
        <v>SE-001384121</v>
      </c>
      <c r="D284" s="1" t="s">
        <v>1</v>
      </c>
      <c r="E284" s="2">
        <v>0</v>
      </c>
      <c r="F284" s="2">
        <v>0</v>
      </c>
      <c r="G284" s="2">
        <v>0</v>
      </c>
      <c r="H284" s="1" t="s">
        <v>1</v>
      </c>
      <c r="I284" s="2">
        <v>0</v>
      </c>
      <c r="J284" s="1">
        <v>45971.454108796293</v>
      </c>
    </row>
    <row r="285" spans="1:10" x14ac:dyDescent="0.2">
      <c r="A285" s="4" t="s">
        <v>0</v>
      </c>
      <c r="B285" s="3" t="str">
        <f>HYPERLINK("https://otsuka-europe-crm.veevavault.com/ui/#object/approved_document__v/V5OZ025E82UUDM3", "INA VAE AT GRIMALDI - EHA NL – Versand")</f>
        <v>INA VAE AT GRIMALDI - EHA NL – Versand</v>
      </c>
      <c r="C285" s="3" t="str">
        <f>HYPERLINK("https://otsuka-europe-crm.veevavault.com/ui/#object/sent_email__v/VBL00000000D335", "SE-001384122")</f>
        <v>SE-001384122</v>
      </c>
      <c r="D285" s="1" t="s">
        <v>1</v>
      </c>
      <c r="E285" s="2">
        <v>0</v>
      </c>
      <c r="F285" s="2">
        <v>0</v>
      </c>
      <c r="G285" s="2">
        <v>0</v>
      </c>
      <c r="H285" s="1" t="s">
        <v>1</v>
      </c>
      <c r="I285" s="2">
        <v>0</v>
      </c>
      <c r="J285" s="1">
        <v>45971.454548611109</v>
      </c>
    </row>
    <row r="286" spans="1:10" x14ac:dyDescent="0.2">
      <c r="A286" s="4" t="s">
        <v>0</v>
      </c>
      <c r="B286" s="3" t="str">
        <f>HYPERLINK("https://otsuka-europe-crm.veevavault.com/ui/#object/approved_document__v/V5OZ025E82UUDM3", "INA VAE AT GRIMALDI - EHA NL – Versand")</f>
        <v>INA VAE AT GRIMALDI - EHA NL – Versand</v>
      </c>
      <c r="C286" s="3" t="str">
        <f>HYPERLINK("https://otsuka-europe-crm.veevavault.com/ui/#object/sent_email__v/VBL00000000D336", "SE-001384123")</f>
        <v>SE-001384123</v>
      </c>
      <c r="D286" s="1" t="s">
        <v>1</v>
      </c>
      <c r="E286" s="2">
        <v>0</v>
      </c>
      <c r="F286" s="2">
        <v>0</v>
      </c>
      <c r="G286" s="2">
        <v>0</v>
      </c>
      <c r="H286" s="1" t="s">
        <v>1</v>
      </c>
      <c r="I286" s="2">
        <v>0</v>
      </c>
      <c r="J286" s="1">
        <v>45971.455023148148</v>
      </c>
    </row>
    <row r="287" spans="1:10" x14ac:dyDescent="0.2">
      <c r="A287" s="4" t="s">
        <v>0</v>
      </c>
      <c r="B287" s="3" t="str">
        <f>HYPERLINK("https://otsuka-europe-crm.veevavault.com/ui/#object/approved_document__v/V5OZ025E82UUDM3", "INA VAE AT GRIMALDI - EHA NL – Versand")</f>
        <v>INA VAE AT GRIMALDI - EHA NL – Versand</v>
      </c>
      <c r="C287" s="3" t="str">
        <f>HYPERLINK("https://otsuka-europe-crm.veevavault.com/ui/#object/sent_email__v/VBL00000000E534", "SE-001384124")</f>
        <v>SE-001384124</v>
      </c>
      <c r="D287" s="1" t="s">
        <v>1</v>
      </c>
      <c r="E287" s="2">
        <v>0</v>
      </c>
      <c r="F287" s="2">
        <v>0</v>
      </c>
      <c r="G287" s="2">
        <v>0</v>
      </c>
      <c r="H287" s="1" t="s">
        <v>1</v>
      </c>
      <c r="I287" s="2">
        <v>0</v>
      </c>
      <c r="J287" s="1">
        <v>45971.457071759258</v>
      </c>
    </row>
    <row r="288" spans="1:10" x14ac:dyDescent="0.2">
      <c r="A288" s="4" t="s">
        <v>0</v>
      </c>
      <c r="B288" s="3" t="str">
        <f>HYPERLINK("https://otsuka-europe-crm.veevavault.com/ui/#object/approved_document__v/V5OZ025E82UUDM3", "INA VAE AT GRIMALDI - EHA NL – Versand")</f>
        <v>INA VAE AT GRIMALDI - EHA NL – Versand</v>
      </c>
      <c r="C288" s="3" t="str">
        <f>HYPERLINK("https://otsuka-europe-crm.veevavault.com/ui/#object/sent_email__v/VBL00000000E535", "SE-001384125")</f>
        <v>SE-001384125</v>
      </c>
      <c r="D288" s="1" t="s">
        <v>1</v>
      </c>
      <c r="E288" s="2">
        <v>0</v>
      </c>
      <c r="F288" s="2">
        <v>0</v>
      </c>
      <c r="G288" s="2">
        <v>0</v>
      </c>
      <c r="H288" s="1" t="s">
        <v>1</v>
      </c>
      <c r="I288" s="2">
        <v>0</v>
      </c>
      <c r="J288" s="1">
        <v>45971.457604166666</v>
      </c>
    </row>
    <row r="289" spans="1:10" x14ac:dyDescent="0.2">
      <c r="A289" s="4" t="s">
        <v>0</v>
      </c>
      <c r="B289" s="3" t="str">
        <f>HYPERLINK("https://otsuka-europe-crm.veevavault.com/ui/#object/approved_document__v/V5OZ025E82UUDM3", "INA VAE AT GRIMALDI - EHA NL – Versand")</f>
        <v>INA VAE AT GRIMALDI - EHA NL – Versand</v>
      </c>
      <c r="C289" s="3" t="str">
        <f>HYPERLINK("https://otsuka-europe-crm.veevavault.com/ui/#object/sent_email__v/VBL00000000E536", "SE-001384126")</f>
        <v>SE-001384126</v>
      </c>
      <c r="D289" s="1" t="s">
        <v>1</v>
      </c>
      <c r="E289" s="2">
        <v>0</v>
      </c>
      <c r="F289" s="2">
        <v>0</v>
      </c>
      <c r="G289" s="2">
        <v>0</v>
      </c>
      <c r="H289" s="1" t="s">
        <v>1</v>
      </c>
      <c r="I289" s="2">
        <v>0</v>
      </c>
      <c r="J289" s="1">
        <v>45971.458321759259</v>
      </c>
    </row>
    <row r="290" spans="1:10" x14ac:dyDescent="0.2">
      <c r="A290" s="4" t="s">
        <v>0</v>
      </c>
      <c r="B290" s="3" t="str">
        <f>HYPERLINK("https://otsuka-europe-crm.veevavault.com/ui/#object/approved_document__v/V5OZ025E82UUDM3", "INA VAE AT GRIMALDI - EHA NL – Versand")</f>
        <v>INA VAE AT GRIMALDI - EHA NL – Versand</v>
      </c>
      <c r="C290" s="3" t="str">
        <f>HYPERLINK("https://otsuka-europe-crm.veevavault.com/ui/#object/sent_email__v/VBL00000000E537", "SE-001384127")</f>
        <v>SE-001384127</v>
      </c>
      <c r="D290" s="1">
        <v>45996.814259259256</v>
      </c>
      <c r="E290" s="2">
        <v>1</v>
      </c>
      <c r="F290" s="2">
        <v>1</v>
      </c>
      <c r="G290" s="2">
        <v>0</v>
      </c>
      <c r="H290" s="1" t="s">
        <v>1</v>
      </c>
      <c r="I290" s="2">
        <v>0</v>
      </c>
      <c r="J290" s="1">
        <v>45971.458923611113</v>
      </c>
    </row>
    <row r="291" spans="1:10" x14ac:dyDescent="0.2">
      <c r="A291" s="4" t="s">
        <v>0</v>
      </c>
      <c r="B291" s="3" t="str">
        <f>HYPERLINK("https://otsuka-europe-crm.veevavault.com/ui/#object/approved_document__v/V5OZ025E82UUDM3", "INA VAE AT GRIMALDI - EHA NL – Versand")</f>
        <v>INA VAE AT GRIMALDI - EHA NL – Versand</v>
      </c>
      <c r="C291" s="3" t="str">
        <f>HYPERLINK("https://otsuka-europe-crm.veevavault.com/ui/#object/sent_email__v/VBL00000000E538", "SE-001384128")</f>
        <v>SE-001384128</v>
      </c>
      <c r="D291" s="1" t="s">
        <v>1</v>
      </c>
      <c r="E291" s="2">
        <v>0</v>
      </c>
      <c r="F291" s="2">
        <v>0</v>
      </c>
      <c r="G291" s="2">
        <v>0</v>
      </c>
      <c r="H291" s="1" t="s">
        <v>1</v>
      </c>
      <c r="I291" s="2">
        <v>0</v>
      </c>
      <c r="J291" s="1">
        <v>45971.459340277775</v>
      </c>
    </row>
    <row r="292" spans="1:10" x14ac:dyDescent="0.2">
      <c r="A292" s="4" t="s">
        <v>0</v>
      </c>
      <c r="B292" s="3" t="str">
        <f>HYPERLINK("https://otsuka-europe-crm.veevavault.com/ui/#object/approved_document__v/V5OZ025E82UUDM3", "INA VAE AT GRIMALDI - EHA NL – Versand")</f>
        <v>INA VAE AT GRIMALDI - EHA NL – Versand</v>
      </c>
      <c r="C292" s="3" t="str">
        <f>HYPERLINK("https://otsuka-europe-crm.veevavault.com/ui/#object/sent_email__v/VBL00000000E539", "SE-001384129")</f>
        <v>SE-001384129</v>
      </c>
      <c r="D292" s="1" t="s">
        <v>1</v>
      </c>
      <c r="E292" s="2">
        <v>0</v>
      </c>
      <c r="F292" s="2">
        <v>0</v>
      </c>
      <c r="G292" s="2">
        <v>0</v>
      </c>
      <c r="H292" s="1" t="s">
        <v>1</v>
      </c>
      <c r="I292" s="2">
        <v>0</v>
      </c>
      <c r="J292" s="1">
        <v>45971.460613425923</v>
      </c>
    </row>
    <row r="293" spans="1:10" x14ac:dyDescent="0.2">
      <c r="A293" s="4" t="s">
        <v>0</v>
      </c>
      <c r="B293" s="3" t="str">
        <f>HYPERLINK("https://otsuka-europe-crm.veevavault.com/ui/#object/approved_document__v/V5OZ025E82UUDM3", "INA VAE AT GRIMALDI - EHA NL – Versand")</f>
        <v>INA VAE AT GRIMALDI - EHA NL – Versand</v>
      </c>
      <c r="C293" s="3" t="str">
        <f>HYPERLINK("https://otsuka-europe-crm.veevavault.com/ui/#object/sent_email__v/VBL00000000E540", "SE-001384130")</f>
        <v>SE-001384130</v>
      </c>
      <c r="D293" s="1" t="s">
        <v>1</v>
      </c>
      <c r="E293" s="2">
        <v>0</v>
      </c>
      <c r="F293" s="2">
        <v>0</v>
      </c>
      <c r="G293" s="2">
        <v>0</v>
      </c>
      <c r="H293" s="1" t="s">
        <v>1</v>
      </c>
      <c r="I293" s="2">
        <v>0</v>
      </c>
      <c r="J293" s="1">
        <v>45971.461041666669</v>
      </c>
    </row>
    <row r="294" spans="1:10" x14ac:dyDescent="0.2">
      <c r="A294" s="4" t="s">
        <v>0</v>
      </c>
      <c r="B294" s="3" t="str">
        <f>HYPERLINK("https://otsuka-europe-crm.veevavault.com/ui/#object/approved_document__v/V5OZ025E82UUDM3", "INA VAE AT GRIMALDI - EHA NL – Versand")</f>
        <v>INA VAE AT GRIMALDI - EHA NL – Versand</v>
      </c>
      <c r="C294" s="3" t="str">
        <f>HYPERLINK("https://otsuka-europe-crm.veevavault.com/ui/#object/sent_email__v/VBL00000000D337", "SE-001384131")</f>
        <v>SE-001384131</v>
      </c>
      <c r="D294" s="1">
        <v>46030.284317129626</v>
      </c>
      <c r="E294" s="2">
        <v>1</v>
      </c>
      <c r="F294" s="2">
        <v>3</v>
      </c>
      <c r="G294" s="2">
        <v>0</v>
      </c>
      <c r="H294" s="1" t="s">
        <v>1</v>
      </c>
      <c r="I294" s="2">
        <v>0</v>
      </c>
      <c r="J294" s="1">
        <v>45971.462372685186</v>
      </c>
    </row>
    <row r="295" spans="1:10" x14ac:dyDescent="0.2">
      <c r="A295" s="4" t="s">
        <v>0</v>
      </c>
      <c r="B295" s="3" t="str">
        <f>HYPERLINK("https://otsuka-europe-crm.veevavault.com/ui/#object/approved_document__v/V5OZ025E82UUDM3", "INA VAE AT GRIMALDI - EHA NL – Versand")</f>
        <v>INA VAE AT GRIMALDI - EHA NL – Versand</v>
      </c>
      <c r="C295" s="3" t="str">
        <f>HYPERLINK("https://otsuka-europe-crm.veevavault.com/ui/#object/sent_email__v/VBL00000000E541", "SE-001384132")</f>
        <v>SE-001384132</v>
      </c>
      <c r="D295" s="1" t="s">
        <v>1</v>
      </c>
      <c r="E295" s="2">
        <v>0</v>
      </c>
      <c r="F295" s="2">
        <v>0</v>
      </c>
      <c r="G295" s="2">
        <v>0</v>
      </c>
      <c r="H295" s="1" t="s">
        <v>1</v>
      </c>
      <c r="I295" s="2">
        <v>0</v>
      </c>
      <c r="J295" s="1">
        <v>45971.463773148149</v>
      </c>
    </row>
    <row r="296" spans="1:10" x14ac:dyDescent="0.2">
      <c r="A296" s="4" t="s">
        <v>0</v>
      </c>
      <c r="B296" s="3" t="str">
        <f>HYPERLINK("https://otsuka-europe-crm.veevavault.com/ui/#object/approved_document__v/V5OZ025E82UUDM3", "INA VAE AT GRIMALDI - EHA NL – Versand")</f>
        <v>INA VAE AT GRIMALDI - EHA NL – Versand</v>
      </c>
      <c r="C296" s="3" t="str">
        <f>HYPERLINK("https://otsuka-europe-crm.veevavault.com/ui/#object/sent_email__v/VBL00000000E542", "SE-001384133")</f>
        <v>SE-001384133</v>
      </c>
      <c r="D296" s="1" t="s">
        <v>1</v>
      </c>
      <c r="E296" s="2">
        <v>0</v>
      </c>
      <c r="F296" s="2">
        <v>0</v>
      </c>
      <c r="G296" s="2">
        <v>0</v>
      </c>
      <c r="H296" s="1" t="s">
        <v>1</v>
      </c>
      <c r="I296" s="2">
        <v>0</v>
      </c>
      <c r="J296" s="1">
        <v>45971.464166666665</v>
      </c>
    </row>
    <row r="297" spans="1:10" x14ac:dyDescent="0.2">
      <c r="A297" s="4" t="s">
        <v>0</v>
      </c>
      <c r="B297" s="3" t="str">
        <f>HYPERLINK("https://otsuka-europe-crm.veevavault.com/ui/#object/approved_document__v/V5OZ025E82UUDM3", "INA VAE AT GRIMALDI - EHA NL – Versand")</f>
        <v>INA VAE AT GRIMALDI - EHA NL – Versand</v>
      </c>
      <c r="C297" s="3" t="str">
        <f>HYPERLINK("https://otsuka-europe-crm.veevavault.com/ui/#object/sent_email__v/VBL00000000E543", "SE-001384134")</f>
        <v>SE-001384134</v>
      </c>
      <c r="D297" s="1" t="s">
        <v>1</v>
      </c>
      <c r="E297" s="2">
        <v>0</v>
      </c>
      <c r="F297" s="2">
        <v>0</v>
      </c>
      <c r="G297" s="2">
        <v>0</v>
      </c>
      <c r="H297" s="1" t="s">
        <v>1</v>
      </c>
      <c r="I297" s="2">
        <v>0</v>
      </c>
      <c r="J297" s="1">
        <v>45971.465115740742</v>
      </c>
    </row>
    <row r="298" spans="1:10" x14ac:dyDescent="0.2">
      <c r="A298" s="4" t="s">
        <v>0</v>
      </c>
      <c r="B298" s="3" t="str">
        <f>HYPERLINK("https://otsuka-europe-crm.veevavault.com/ui/#object/approved_document__v/V5OZ025E82UUDM3", "INA VAE AT GRIMALDI - EHA NL – Versand")</f>
        <v>INA VAE AT GRIMALDI - EHA NL – Versand</v>
      </c>
      <c r="C298" s="3" t="str">
        <f>HYPERLINK("https://otsuka-europe-crm.veevavault.com/ui/#object/sent_email__v/VBL00000000D372", "SE-001384226")</f>
        <v>SE-001384226</v>
      </c>
      <c r="D298" s="1" t="s">
        <v>1</v>
      </c>
      <c r="E298" s="2">
        <v>0</v>
      </c>
      <c r="F298" s="2">
        <v>0</v>
      </c>
      <c r="G298" s="2">
        <v>0</v>
      </c>
      <c r="H298" s="1" t="s">
        <v>1</v>
      </c>
      <c r="I298" s="2">
        <v>0</v>
      </c>
      <c r="J298" s="1">
        <v>45971.508634259262</v>
      </c>
    </row>
    <row r="299" spans="1:10" x14ac:dyDescent="0.2">
      <c r="A299" s="4" t="s">
        <v>0</v>
      </c>
      <c r="B299" s="3" t="str">
        <f>HYPERLINK("https://otsuka-europe-crm.veevavault.com/ui/#object/approved_document__v/V5OZ025E82UUDM3", "INA VAE AT GRIMALDI - EHA NL – Versand")</f>
        <v>INA VAE AT GRIMALDI - EHA NL – Versand</v>
      </c>
      <c r="C299" s="3" t="str">
        <f>HYPERLINK("https://otsuka-europe-crm.veevavault.com/ui/#object/sent_email__v/VBL00000000E601", "SE-001384227")</f>
        <v>SE-001384227</v>
      </c>
      <c r="D299" s="1">
        <v>45971.509467592594</v>
      </c>
      <c r="E299" s="2">
        <v>1</v>
      </c>
      <c r="F299" s="2">
        <v>1</v>
      </c>
      <c r="G299" s="2">
        <v>0</v>
      </c>
      <c r="H299" s="1" t="s">
        <v>1</v>
      </c>
      <c r="I299" s="2">
        <v>0</v>
      </c>
      <c r="J299" s="1">
        <v>45971.509363425925</v>
      </c>
    </row>
    <row r="300" spans="1:10" x14ac:dyDescent="0.2">
      <c r="A300" s="4" t="s">
        <v>0</v>
      </c>
      <c r="B300" s="3" t="str">
        <f>HYPERLINK("https://otsuka-europe-crm.veevavault.com/ui/#object/approved_document__v/V5OZ025E82UUDM3", "INA VAE AT GRIMALDI - EHA NL – Versand")</f>
        <v>INA VAE AT GRIMALDI - EHA NL – Versand</v>
      </c>
      <c r="C300" s="3" t="str">
        <f>HYPERLINK("https://otsuka-europe-crm.veevavault.com/ui/#object/sent_email__v/VBL00000000E602", "SE-001384228")</f>
        <v>SE-001384228</v>
      </c>
      <c r="D300" s="1" t="s">
        <v>1</v>
      </c>
      <c r="E300" s="2">
        <v>0</v>
      </c>
      <c r="F300" s="2">
        <v>0</v>
      </c>
      <c r="G300" s="2">
        <v>0</v>
      </c>
      <c r="H300" s="1" t="s">
        <v>1</v>
      </c>
      <c r="I300" s="2">
        <v>0</v>
      </c>
      <c r="J300" s="1">
        <v>45971.511944444443</v>
      </c>
    </row>
    <row r="301" spans="1:10" x14ac:dyDescent="0.2">
      <c r="A301" s="4" t="s">
        <v>0</v>
      </c>
      <c r="B301" s="3" t="str">
        <f>HYPERLINK("https://otsuka-europe-crm.veevavault.com/ui/#object/approved_document__v/V5OZ025E82UUDM3", "INA VAE AT GRIMALDI - EHA NL – Versand")</f>
        <v>INA VAE AT GRIMALDI - EHA NL – Versand</v>
      </c>
      <c r="C301" s="3" t="str">
        <f>HYPERLINK("https://otsuka-europe-crm.veevavault.com/ui/#object/sent_email__v/VBL00000000E603", "SE-001384229")</f>
        <v>SE-001384229</v>
      </c>
      <c r="D301" s="1" t="s">
        <v>1</v>
      </c>
      <c r="E301" s="2">
        <v>0</v>
      </c>
      <c r="F301" s="2">
        <v>0</v>
      </c>
      <c r="G301" s="2">
        <v>0</v>
      </c>
      <c r="H301" s="1" t="s">
        <v>1</v>
      </c>
      <c r="I301" s="2">
        <v>0</v>
      </c>
      <c r="J301" s="1">
        <v>45971.512418981481</v>
      </c>
    </row>
    <row r="302" spans="1:10" x14ac:dyDescent="0.2">
      <c r="A302" s="4" t="s">
        <v>0</v>
      </c>
      <c r="B302" s="3" t="str">
        <f>HYPERLINK("https://otsuka-europe-crm.veevavault.com/ui/#object/approved_document__v/V5OZ025E82UUDM3", "INA VAE AT GRIMALDI - EHA NL – Versand")</f>
        <v>INA VAE AT GRIMALDI - EHA NL – Versand</v>
      </c>
      <c r="C302" s="3" t="str">
        <f>HYPERLINK("https://otsuka-europe-crm.veevavault.com/ui/#object/sent_email__v/VBL00000000E604", "SE-001384230")</f>
        <v>SE-001384230</v>
      </c>
      <c r="D302" s="1">
        <v>45971.604837962965</v>
      </c>
      <c r="E302" s="2">
        <v>1</v>
      </c>
      <c r="F302" s="2">
        <v>1</v>
      </c>
      <c r="G302" s="2">
        <v>0</v>
      </c>
      <c r="H302" s="1" t="s">
        <v>1</v>
      </c>
      <c r="I302" s="2">
        <v>0</v>
      </c>
      <c r="J302" s="1">
        <v>45971.514201388891</v>
      </c>
    </row>
    <row r="303" spans="1:10" x14ac:dyDescent="0.2">
      <c r="A303" s="4" t="s">
        <v>0</v>
      </c>
      <c r="B303" s="3" t="str">
        <f>HYPERLINK("https://otsuka-europe-crm.veevavault.com/ui/#object/approved_document__v/V5OZ025E82UUDM3", "INA VAE AT GRIMALDI - EHA NL – Versand")</f>
        <v>INA VAE AT GRIMALDI - EHA NL – Versand</v>
      </c>
      <c r="C303" s="3" t="str">
        <f>HYPERLINK("https://otsuka-europe-crm.veevavault.com/ui/#object/sent_email__v/VBL00000000D373", "SE-001384234")</f>
        <v>SE-001384234</v>
      </c>
      <c r="D303" s="1" t="s">
        <v>1</v>
      </c>
      <c r="E303" s="2">
        <v>0</v>
      </c>
      <c r="F303" s="2">
        <v>0</v>
      </c>
      <c r="G303" s="2">
        <v>0</v>
      </c>
      <c r="H303" s="1" t="s">
        <v>1</v>
      </c>
      <c r="I303" s="2">
        <v>0</v>
      </c>
      <c r="J303" s="1">
        <v>45971.517210648148</v>
      </c>
    </row>
    <row r="304" spans="1:10" x14ac:dyDescent="0.2">
      <c r="A304" s="4" t="s">
        <v>0</v>
      </c>
      <c r="B304" s="3" t="str">
        <f>HYPERLINK("https://otsuka-europe-crm.veevavault.com/ui/#object/approved_document__v/V5OZ025E82UUDM3", "INA VAE AT GRIMALDI - EHA NL – Versand")</f>
        <v>INA VAE AT GRIMALDI - EHA NL – Versand</v>
      </c>
      <c r="C304" s="3" t="str">
        <f>HYPERLINK("https://otsuka-europe-crm.veevavault.com/ui/#object/sent_email__v/VBL00000000D374", "SE-001384235")</f>
        <v>SE-001384235</v>
      </c>
      <c r="D304" s="1">
        <v>45973.681655092594</v>
      </c>
      <c r="E304" s="2">
        <v>1</v>
      </c>
      <c r="F304" s="2">
        <v>1</v>
      </c>
      <c r="G304" s="2">
        <v>0</v>
      </c>
      <c r="H304" s="1" t="s">
        <v>1</v>
      </c>
      <c r="I304" s="2">
        <v>0</v>
      </c>
      <c r="J304" s="1">
        <v>45971.518020833333</v>
      </c>
    </row>
    <row r="305" spans="1:10" x14ac:dyDescent="0.2">
      <c r="A305" s="4" t="s">
        <v>0</v>
      </c>
      <c r="B305" s="3" t="str">
        <f>HYPERLINK("https://otsuka-europe-crm.veevavault.com/ui/#object/approved_document__v/V5OZ025E82U22VQ", "INA VAE AT GRIMALDI - Patienten mit TP53-Mutation")</f>
        <v>INA VAE AT GRIMALDI - Patienten mit TP53-Mutation</v>
      </c>
      <c r="C305" s="3" t="str">
        <f>HYPERLINK("https://otsuka-europe-crm.veevavault.com/ui/#object/sent_email__v/VBL00000000P166", "SE-001391491")</f>
        <v>SE-001391491</v>
      </c>
      <c r="D305" s="1" t="s">
        <v>1</v>
      </c>
      <c r="E305" s="2">
        <v>0</v>
      </c>
      <c r="F305" s="2">
        <v>0</v>
      </c>
      <c r="G305" s="2">
        <v>0</v>
      </c>
      <c r="H305" s="1" t="s">
        <v>1</v>
      </c>
      <c r="I305" s="2">
        <v>0</v>
      </c>
      <c r="J305" s="1">
        <v>45982.455254629633</v>
      </c>
    </row>
    <row r="306" spans="1:10" x14ac:dyDescent="0.2">
      <c r="A306" s="4" t="s">
        <v>0</v>
      </c>
      <c r="B306" s="3" t="str">
        <f>HYPERLINK("https://otsuka-europe-crm.veevavault.com/ui/#object/approved_document__v/V5OZ025E82U22VQ", "INA VAE AT GRIMALDI - Patienten mit TP53-Mutation")</f>
        <v>INA VAE AT GRIMALDI - Patienten mit TP53-Mutation</v>
      </c>
      <c r="C306" s="3" t="str">
        <f>HYPERLINK("https://otsuka-europe-crm.veevavault.com/ui/#object/sent_email__v/VBL00000000P167", "SE-001391492")</f>
        <v>SE-001391492</v>
      </c>
      <c r="D306" s="1">
        <v>45982.688761574071</v>
      </c>
      <c r="E306" s="2">
        <v>1</v>
      </c>
      <c r="F306" s="2">
        <v>1</v>
      </c>
      <c r="G306" s="2">
        <v>0</v>
      </c>
      <c r="H306" s="1" t="s">
        <v>1</v>
      </c>
      <c r="I306" s="2">
        <v>0</v>
      </c>
      <c r="J306" s="1">
        <v>45982.456331018519</v>
      </c>
    </row>
    <row r="307" spans="1:10" x14ac:dyDescent="0.2">
      <c r="A307" s="4" t="s">
        <v>0</v>
      </c>
      <c r="B307" s="3" t="str">
        <f>HYPERLINK("https://otsuka-europe-crm.veevavault.com/ui/#object/approved_document__v/V5OZ025E82U22VQ", "INA VAE AT GRIMALDI - Patienten mit TP53-Mutation")</f>
        <v>INA VAE AT GRIMALDI - Patienten mit TP53-Mutation</v>
      </c>
      <c r="C307" s="3" t="str">
        <f>HYPERLINK("https://otsuka-europe-crm.veevavault.com/ui/#object/sent_email__v/VBL00000000P168", "SE-001391493")</f>
        <v>SE-001391493</v>
      </c>
      <c r="D307" s="1" t="s">
        <v>1</v>
      </c>
      <c r="E307" s="2">
        <v>0</v>
      </c>
      <c r="F307" s="2">
        <v>0</v>
      </c>
      <c r="G307" s="2">
        <v>0</v>
      </c>
      <c r="H307" s="1" t="s">
        <v>1</v>
      </c>
      <c r="I307" s="2">
        <v>0</v>
      </c>
      <c r="J307" s="1">
        <v>45982.457083333335</v>
      </c>
    </row>
    <row r="308" spans="1:10" x14ac:dyDescent="0.2">
      <c r="A308" s="4" t="s">
        <v>0</v>
      </c>
      <c r="B308" s="3" t="str">
        <f>HYPERLINK("https://otsuka-europe-crm.veevavault.com/ui/#object/approved_document__v/V5OZ025E82U22VQ", "INA VAE AT GRIMALDI - Patienten mit TP53-Mutation")</f>
        <v>INA VAE AT GRIMALDI - Patienten mit TP53-Mutation</v>
      </c>
      <c r="C308" s="3" t="str">
        <f>HYPERLINK("https://otsuka-europe-crm.veevavault.com/ui/#object/sent_email__v/VBL00000000P169", "SE-001391494")</f>
        <v>SE-001391494</v>
      </c>
      <c r="D308" s="1" t="s">
        <v>1</v>
      </c>
      <c r="E308" s="2">
        <v>0</v>
      </c>
      <c r="F308" s="2">
        <v>0</v>
      </c>
      <c r="G308" s="2">
        <v>0</v>
      </c>
      <c r="H308" s="1" t="s">
        <v>1</v>
      </c>
      <c r="I308" s="2">
        <v>0</v>
      </c>
      <c r="J308" s="1">
        <v>45982.458078703705</v>
      </c>
    </row>
    <row r="309" spans="1:10" x14ac:dyDescent="0.2">
      <c r="A309" s="4" t="s">
        <v>0</v>
      </c>
      <c r="B309" s="3" t="str">
        <f>HYPERLINK("https://otsuka-europe-crm.veevavault.com/ui/#object/approved_document__v/V5OZ025E82U22VQ", "INA VAE AT GRIMALDI - Patienten mit TP53-Mutation")</f>
        <v>INA VAE AT GRIMALDI - Patienten mit TP53-Mutation</v>
      </c>
      <c r="C309" s="3" t="str">
        <f>HYPERLINK("https://otsuka-europe-crm.veevavault.com/ui/#object/sent_email__v/VBL00000000P170", "SE-001391495")</f>
        <v>SE-001391495</v>
      </c>
      <c r="D309" s="1" t="s">
        <v>1</v>
      </c>
      <c r="E309" s="2">
        <v>0</v>
      </c>
      <c r="F309" s="2">
        <v>0</v>
      </c>
      <c r="G309" s="2">
        <v>0</v>
      </c>
      <c r="H309" s="1" t="s">
        <v>1</v>
      </c>
      <c r="I309" s="2">
        <v>0</v>
      </c>
      <c r="J309" s="1">
        <v>45982.458611111113</v>
      </c>
    </row>
    <row r="310" spans="1:10" x14ac:dyDescent="0.2">
      <c r="A310" s="4" t="s">
        <v>0</v>
      </c>
      <c r="B310" s="3" t="str">
        <f>HYPERLINK("https://otsuka-europe-crm.veevavault.com/ui/#object/approved_document__v/V5OZ025E82U22VQ", "INA VAE AT GRIMALDI - Patienten mit TP53-Mutation")</f>
        <v>INA VAE AT GRIMALDI - Patienten mit TP53-Mutation</v>
      </c>
      <c r="C310" s="3" t="str">
        <f>HYPERLINK("https://otsuka-europe-crm.veevavault.com/ui/#object/sent_email__v/VBL00000000P171", "SE-001391496")</f>
        <v>SE-001391496</v>
      </c>
      <c r="D310" s="1" t="s">
        <v>1</v>
      </c>
      <c r="E310" s="2">
        <v>0</v>
      </c>
      <c r="F310" s="2">
        <v>0</v>
      </c>
      <c r="G310" s="2">
        <v>0</v>
      </c>
      <c r="H310" s="1" t="s">
        <v>1</v>
      </c>
      <c r="I310" s="2">
        <v>0</v>
      </c>
      <c r="J310" s="1">
        <v>45982.459247685183</v>
      </c>
    </row>
    <row r="311" spans="1:10" x14ac:dyDescent="0.2">
      <c r="A311" s="4" t="s">
        <v>0</v>
      </c>
      <c r="B311" s="3" t="str">
        <f>HYPERLINK("https://otsuka-europe-crm.veevavault.com/ui/#object/approved_document__v/V5OZ025E82U22VQ", "INA VAE AT GRIMALDI - Patienten mit TP53-Mutation")</f>
        <v>INA VAE AT GRIMALDI - Patienten mit TP53-Mutation</v>
      </c>
      <c r="C311" s="3" t="str">
        <f>HYPERLINK("https://otsuka-europe-crm.veevavault.com/ui/#object/sent_email__v/VBL00000000P172", "SE-001391497")</f>
        <v>SE-001391497</v>
      </c>
      <c r="D311" s="1">
        <v>45982.81108796296</v>
      </c>
      <c r="E311" s="2">
        <v>1</v>
      </c>
      <c r="F311" s="2">
        <v>2</v>
      </c>
      <c r="G311" s="2">
        <v>0</v>
      </c>
      <c r="H311" s="1" t="s">
        <v>1</v>
      </c>
      <c r="I311" s="2">
        <v>0</v>
      </c>
      <c r="J311" s="1">
        <v>45982.460428240738</v>
      </c>
    </row>
    <row r="312" spans="1:10" x14ac:dyDescent="0.2">
      <c r="A312" s="4" t="s">
        <v>0</v>
      </c>
      <c r="B312" s="3" t="str">
        <f>HYPERLINK("https://otsuka-europe-crm.veevavault.com/ui/#object/approved_document__v/V5OZ025E82U22VQ", "INA VAE AT GRIMALDI - Patienten mit TP53-Mutation")</f>
        <v>INA VAE AT GRIMALDI - Patienten mit TP53-Mutation</v>
      </c>
      <c r="C312" s="3" t="str">
        <f>HYPERLINK("https://otsuka-europe-crm.veevavault.com/ui/#object/sent_email__v/VBL00000000P173", "SE-001391498")</f>
        <v>SE-001391498</v>
      </c>
      <c r="D312" s="1" t="s">
        <v>1</v>
      </c>
      <c r="E312" s="2">
        <v>0</v>
      </c>
      <c r="F312" s="2">
        <v>0</v>
      </c>
      <c r="G312" s="2">
        <v>0</v>
      </c>
      <c r="H312" s="1" t="s">
        <v>1</v>
      </c>
      <c r="I312" s="2">
        <v>0</v>
      </c>
      <c r="J312" s="1">
        <v>45982.460972222223</v>
      </c>
    </row>
    <row r="313" spans="1:10" x14ac:dyDescent="0.2">
      <c r="A313" s="4" t="s">
        <v>0</v>
      </c>
      <c r="B313" s="3" t="str">
        <f>HYPERLINK("https://otsuka-europe-crm.veevavault.com/ui/#object/approved_document__v/V5OZ025E82U22VQ", "INA VAE AT GRIMALDI - Patienten mit TP53-Mutation")</f>
        <v>INA VAE AT GRIMALDI - Patienten mit TP53-Mutation</v>
      </c>
      <c r="C313" s="3" t="str">
        <f>HYPERLINK("https://otsuka-europe-crm.veevavault.com/ui/#object/sent_email__v/VBL00000000P174", "SE-001391499")</f>
        <v>SE-001391499</v>
      </c>
      <c r="D313" s="1">
        <v>45982.960393518515</v>
      </c>
      <c r="E313" s="2">
        <v>1</v>
      </c>
      <c r="F313" s="2">
        <v>3</v>
      </c>
      <c r="G313" s="2">
        <v>0</v>
      </c>
      <c r="H313" s="1" t="s">
        <v>1</v>
      </c>
      <c r="I313" s="2">
        <v>0</v>
      </c>
      <c r="J313" s="1">
        <v>45982.461539351854</v>
      </c>
    </row>
    <row r="314" spans="1:10" x14ac:dyDescent="0.2">
      <c r="A314" s="4" t="s">
        <v>0</v>
      </c>
      <c r="B314" s="3" t="str">
        <f>HYPERLINK("https://otsuka-europe-crm.veevavault.com/ui/#object/approved_document__v/V5OZ025E82U22VQ", "INA VAE AT GRIMALDI - Patienten mit TP53-Mutation")</f>
        <v>INA VAE AT GRIMALDI - Patienten mit TP53-Mutation</v>
      </c>
      <c r="C314" s="3" t="str">
        <f>HYPERLINK("https://otsuka-europe-crm.veevavault.com/ui/#object/sent_email__v/VBL00000000P175", "SE-001391500")</f>
        <v>SE-001391500</v>
      </c>
      <c r="D314" s="1" t="s">
        <v>1</v>
      </c>
      <c r="E314" s="2">
        <v>0</v>
      </c>
      <c r="F314" s="2">
        <v>0</v>
      </c>
      <c r="G314" s="2">
        <v>0</v>
      </c>
      <c r="H314" s="1" t="s">
        <v>1</v>
      </c>
      <c r="I314" s="2">
        <v>0</v>
      </c>
      <c r="J314" s="1">
        <v>45982.462037037039</v>
      </c>
    </row>
    <row r="315" spans="1:10" x14ac:dyDescent="0.2">
      <c r="A315" s="4" t="s">
        <v>0</v>
      </c>
      <c r="B315" s="3" t="str">
        <f>HYPERLINK("https://otsuka-europe-crm.veevavault.com/ui/#object/approved_document__v/V5OZ025E82U22VQ", "INA VAE AT GRIMALDI - Patienten mit TP53-Mutation")</f>
        <v>INA VAE AT GRIMALDI - Patienten mit TP53-Mutation</v>
      </c>
      <c r="C315" s="3" t="str">
        <f>HYPERLINK("https://otsuka-europe-crm.veevavault.com/ui/#object/sent_email__v/VBL00000000P176", "SE-001391501")</f>
        <v>SE-001391501</v>
      </c>
      <c r="D315" s="1" t="s">
        <v>1</v>
      </c>
      <c r="E315" s="2">
        <v>0</v>
      </c>
      <c r="F315" s="2">
        <v>0</v>
      </c>
      <c r="G315" s="2">
        <v>0</v>
      </c>
      <c r="H315" s="1" t="s">
        <v>1</v>
      </c>
      <c r="I315" s="2">
        <v>0</v>
      </c>
      <c r="J315" s="1">
        <v>45982.462442129632</v>
      </c>
    </row>
    <row r="316" spans="1:10" x14ac:dyDescent="0.2">
      <c r="A316" s="4" t="s">
        <v>0</v>
      </c>
      <c r="B316" s="3" t="str">
        <f>HYPERLINK("https://otsuka-europe-crm.veevavault.com/ui/#object/approved_document__v/V5OZ025E82U22VQ", "INA VAE AT GRIMALDI - Patienten mit TP53-Mutation")</f>
        <v>INA VAE AT GRIMALDI - Patienten mit TP53-Mutation</v>
      </c>
      <c r="C316" s="3" t="str">
        <f>HYPERLINK("https://otsuka-europe-crm.veevavault.com/ui/#object/sent_email__v/VBL00000000P177", "SE-001391502")</f>
        <v>SE-001391502</v>
      </c>
      <c r="D316" s="1">
        <v>45983.535150462965</v>
      </c>
      <c r="E316" s="2">
        <v>1</v>
      </c>
      <c r="F316" s="2">
        <v>1</v>
      </c>
      <c r="G316" s="2">
        <v>0</v>
      </c>
      <c r="H316" s="1" t="s">
        <v>1</v>
      </c>
      <c r="I316" s="2">
        <v>0</v>
      </c>
      <c r="J316" s="1">
        <v>45982.46303240741</v>
      </c>
    </row>
    <row r="317" spans="1:10" x14ac:dyDescent="0.2">
      <c r="A317" s="4" t="s">
        <v>0</v>
      </c>
      <c r="B317" s="3" t="str">
        <f>HYPERLINK("https://otsuka-europe-crm.veevavault.com/ui/#object/approved_document__v/V5OZ025E82U22VQ", "INA VAE AT GRIMALDI - Patienten mit TP53-Mutation")</f>
        <v>INA VAE AT GRIMALDI - Patienten mit TP53-Mutation</v>
      </c>
      <c r="C317" s="3" t="str">
        <f>HYPERLINK("https://otsuka-europe-crm.veevavault.com/ui/#object/sent_email__v/VBL00000000P178", "SE-001391503")</f>
        <v>SE-001391503</v>
      </c>
      <c r="D317" s="1" t="s">
        <v>1</v>
      </c>
      <c r="E317" s="2">
        <v>0</v>
      </c>
      <c r="F317" s="2">
        <v>0</v>
      </c>
      <c r="G317" s="2">
        <v>0</v>
      </c>
      <c r="H317" s="1" t="s">
        <v>1</v>
      </c>
      <c r="I317" s="2">
        <v>0</v>
      </c>
      <c r="J317" s="1">
        <v>45982.463541666664</v>
      </c>
    </row>
    <row r="318" spans="1:10" x14ac:dyDescent="0.2">
      <c r="A318" s="4" t="s">
        <v>0</v>
      </c>
      <c r="B318" s="3" t="str">
        <f>HYPERLINK("https://otsuka-europe-crm.veevavault.com/ui/#object/approved_document__v/V5OZ025E82U22VQ", "INA VAE AT GRIMALDI - Patienten mit TP53-Mutation")</f>
        <v>INA VAE AT GRIMALDI - Patienten mit TP53-Mutation</v>
      </c>
      <c r="C318" s="3" t="str">
        <f>HYPERLINK("https://otsuka-europe-crm.veevavault.com/ui/#object/sent_email__v/VBL00000000P180", "SE-001391505")</f>
        <v>SE-001391505</v>
      </c>
      <c r="D318" s="1" t="s">
        <v>1</v>
      </c>
      <c r="E318" s="2">
        <v>0</v>
      </c>
      <c r="F318" s="2">
        <v>0</v>
      </c>
      <c r="G318" s="2">
        <v>0</v>
      </c>
      <c r="H318" s="1" t="s">
        <v>1</v>
      </c>
      <c r="I318" s="2">
        <v>0</v>
      </c>
      <c r="J318" s="1">
        <v>45982.465196759258</v>
      </c>
    </row>
    <row r="319" spans="1:10" x14ac:dyDescent="0.2">
      <c r="A319" s="4" t="s">
        <v>0</v>
      </c>
      <c r="B319" s="3" t="str">
        <f>HYPERLINK("https://otsuka-europe-crm.veevavault.com/ui/#object/approved_document__v/V5OZ025E82U22VQ", "INA VAE AT GRIMALDI - Patienten mit TP53-Mutation")</f>
        <v>INA VAE AT GRIMALDI - Patienten mit TP53-Mutation</v>
      </c>
      <c r="C319" s="3" t="str">
        <f>HYPERLINK("https://otsuka-europe-crm.veevavault.com/ui/#object/sent_email__v/VBL00000000P181", "SE-001391506")</f>
        <v>SE-001391506</v>
      </c>
      <c r="D319" s="1" t="s">
        <v>1</v>
      </c>
      <c r="E319" s="2">
        <v>0</v>
      </c>
      <c r="F319" s="2">
        <v>0</v>
      </c>
      <c r="G319" s="2">
        <v>0</v>
      </c>
      <c r="H319" s="1" t="s">
        <v>1</v>
      </c>
      <c r="I319" s="2">
        <v>0</v>
      </c>
      <c r="J319" s="1">
        <v>45982.465208333335</v>
      </c>
    </row>
    <row r="320" spans="1:10" x14ac:dyDescent="0.2">
      <c r="A320" s="4" t="s">
        <v>0</v>
      </c>
      <c r="B320" s="3" t="str">
        <f>HYPERLINK("https://otsuka-europe-crm.veevavault.com/ui/#object/approved_document__v/V5OZ025E82U22VQ", "INA VAE AT GRIMALDI - Patienten mit TP53-Mutation")</f>
        <v>INA VAE AT GRIMALDI - Patienten mit TP53-Mutation</v>
      </c>
      <c r="C320" s="3" t="str">
        <f>HYPERLINK("https://otsuka-europe-crm.veevavault.com/ui/#object/sent_email__v/VBL00000000P182", "SE-001391507")</f>
        <v>SE-001391507</v>
      </c>
      <c r="D320" s="1" t="s">
        <v>1</v>
      </c>
      <c r="E320" s="2">
        <v>0</v>
      </c>
      <c r="F320" s="2">
        <v>0</v>
      </c>
      <c r="G320" s="2">
        <v>0</v>
      </c>
      <c r="H320" s="1" t="s">
        <v>1</v>
      </c>
      <c r="I320" s="2">
        <v>0</v>
      </c>
      <c r="J320" s="1">
        <v>45982.465231481481</v>
      </c>
    </row>
    <row r="321" spans="1:10" x14ac:dyDescent="0.2">
      <c r="A321" s="4" t="s">
        <v>0</v>
      </c>
      <c r="B321" s="3" t="str">
        <f>HYPERLINK("https://otsuka-europe-crm.veevavault.com/ui/#object/approved_document__v/V5OZ025E82U22VQ", "INA VAE AT GRIMALDI - Patienten mit TP53-Mutation")</f>
        <v>INA VAE AT GRIMALDI - Patienten mit TP53-Mutation</v>
      </c>
      <c r="C321" s="3" t="str">
        <f>HYPERLINK("https://otsuka-europe-crm.veevavault.com/ui/#object/sent_email__v/VBL00000000P183", "SE-001391508")</f>
        <v>SE-001391508</v>
      </c>
      <c r="D321" s="1" t="s">
        <v>1</v>
      </c>
      <c r="E321" s="2">
        <v>0</v>
      </c>
      <c r="F321" s="2">
        <v>0</v>
      </c>
      <c r="G321" s="2">
        <v>0</v>
      </c>
      <c r="H321" s="1" t="s">
        <v>1</v>
      </c>
      <c r="I321" s="2">
        <v>0</v>
      </c>
      <c r="J321" s="1">
        <v>45982.465682870374</v>
      </c>
    </row>
    <row r="322" spans="1:10" x14ac:dyDescent="0.2">
      <c r="A322" s="4" t="s">
        <v>0</v>
      </c>
      <c r="B322" s="3" t="str">
        <f>HYPERLINK("https://otsuka-europe-crm.veevavault.com/ui/#object/approved_document__v/V5OZ025E82U22VQ", "INA VAE AT GRIMALDI - Patienten mit TP53-Mutation")</f>
        <v>INA VAE AT GRIMALDI - Patienten mit TP53-Mutation</v>
      </c>
      <c r="C322" s="3" t="str">
        <f>HYPERLINK("https://otsuka-europe-crm.veevavault.com/ui/#object/sent_email__v/VBL00000000P184", "SE-001391509")</f>
        <v>SE-001391509</v>
      </c>
      <c r="D322" s="1" t="s">
        <v>1</v>
      </c>
      <c r="E322" s="2">
        <v>0</v>
      </c>
      <c r="F322" s="2">
        <v>0</v>
      </c>
      <c r="G322" s="2">
        <v>0</v>
      </c>
      <c r="H322" s="1" t="s">
        <v>1</v>
      </c>
      <c r="I322" s="2">
        <v>0</v>
      </c>
      <c r="J322" s="1">
        <v>45982.466145833336</v>
      </c>
    </row>
    <row r="323" spans="1:10" x14ac:dyDescent="0.2">
      <c r="A323" s="4" t="s">
        <v>0</v>
      </c>
      <c r="B323" s="3" t="str">
        <f>HYPERLINK("https://otsuka-europe-crm.veevavault.com/ui/#object/approved_document__v/V5OZ025E82U22VQ", "INA VAE AT GRIMALDI - Patienten mit TP53-Mutation")</f>
        <v>INA VAE AT GRIMALDI - Patienten mit TP53-Mutation</v>
      </c>
      <c r="C323" s="3" t="str">
        <f>HYPERLINK("https://otsuka-europe-crm.veevavault.com/ui/#object/sent_email__v/VBL00000000P185", "SE-001391510")</f>
        <v>SE-001391510</v>
      </c>
      <c r="D323" s="1" t="s">
        <v>1</v>
      </c>
      <c r="E323" s="2">
        <v>0</v>
      </c>
      <c r="F323" s="2">
        <v>0</v>
      </c>
      <c r="G323" s="2">
        <v>0</v>
      </c>
      <c r="H323" s="1" t="s">
        <v>1</v>
      </c>
      <c r="I323" s="2">
        <v>0</v>
      </c>
      <c r="J323" s="1">
        <v>45982.467268518521</v>
      </c>
    </row>
    <row r="324" spans="1:10" x14ac:dyDescent="0.2">
      <c r="A324" s="4" t="s">
        <v>0</v>
      </c>
      <c r="B324" s="3" t="str">
        <f>HYPERLINK("https://otsuka-europe-crm.veevavault.com/ui/#object/approved_document__v/V5OZ025E82U22VQ", "INA VAE AT GRIMALDI - Patienten mit TP53-Mutation")</f>
        <v>INA VAE AT GRIMALDI - Patienten mit TP53-Mutation</v>
      </c>
      <c r="C324" s="3" t="str">
        <f>HYPERLINK("https://otsuka-europe-crm.veevavault.com/ui/#object/sent_email__v/VBL00000000P186", "SE-001391511")</f>
        <v>SE-001391511</v>
      </c>
      <c r="D324" s="1" t="s">
        <v>1</v>
      </c>
      <c r="E324" s="2">
        <v>0</v>
      </c>
      <c r="F324" s="2">
        <v>0</v>
      </c>
      <c r="G324" s="2">
        <v>0</v>
      </c>
      <c r="H324" s="1" t="s">
        <v>1</v>
      </c>
      <c r="I324" s="2">
        <v>0</v>
      </c>
      <c r="J324" s="1">
        <v>45982.467766203707</v>
      </c>
    </row>
    <row r="325" spans="1:10" x14ac:dyDescent="0.2">
      <c r="A325" s="4" t="s">
        <v>0</v>
      </c>
      <c r="B325" s="3" t="str">
        <f>HYPERLINK("https://otsuka-europe-crm.veevavault.com/ui/#object/approved_document__v/V5OZ025E82U22VQ", "INA VAE AT GRIMALDI - Patienten mit TP53-Mutation")</f>
        <v>INA VAE AT GRIMALDI - Patienten mit TP53-Mutation</v>
      </c>
      <c r="C325" s="3" t="str">
        <f>HYPERLINK("https://otsuka-europe-crm.veevavault.com/ui/#object/sent_email__v/VBL00000000P187", "SE-001391512")</f>
        <v>SE-001391512</v>
      </c>
      <c r="D325" s="1" t="s">
        <v>1</v>
      </c>
      <c r="E325" s="2">
        <v>0</v>
      </c>
      <c r="F325" s="2">
        <v>0</v>
      </c>
      <c r="G325" s="2">
        <v>0</v>
      </c>
      <c r="H325" s="1" t="s">
        <v>1</v>
      </c>
      <c r="I325" s="2">
        <v>0</v>
      </c>
      <c r="J325" s="1">
        <v>45982.468217592592</v>
      </c>
    </row>
    <row r="326" spans="1:10" x14ac:dyDescent="0.2">
      <c r="A326" s="4" t="s">
        <v>0</v>
      </c>
      <c r="B326" s="3" t="str">
        <f>HYPERLINK("https://otsuka-europe-crm.veevavault.com/ui/#object/approved_document__v/V5OZ025E82U22VQ", "INA VAE AT GRIMALDI - Patienten mit TP53-Mutation")</f>
        <v>INA VAE AT GRIMALDI - Patienten mit TP53-Mutation</v>
      </c>
      <c r="C326" s="3" t="str">
        <f>HYPERLINK("https://otsuka-europe-crm.veevavault.com/ui/#object/sent_email__v/VBL00000000Q267", "SE-001391513")</f>
        <v>SE-001391513</v>
      </c>
      <c r="D326" s="1">
        <v>46028.697175925925</v>
      </c>
      <c r="E326" s="2">
        <v>1</v>
      </c>
      <c r="F326" s="2">
        <v>1</v>
      </c>
      <c r="G326" s="2">
        <v>0</v>
      </c>
      <c r="H326" s="1" t="s">
        <v>1</v>
      </c>
      <c r="I326" s="2">
        <v>0</v>
      </c>
      <c r="J326" s="1">
        <v>45982.468784722223</v>
      </c>
    </row>
    <row r="327" spans="1:10" x14ac:dyDescent="0.2">
      <c r="A327" s="4" t="s">
        <v>0</v>
      </c>
      <c r="B327" s="3" t="str">
        <f>HYPERLINK("https://otsuka-europe-crm.veevavault.com/ui/#object/approved_document__v/V5OZ025E82U22VQ", "INA VAE AT GRIMALDI - Patienten mit TP53-Mutation")</f>
        <v>INA VAE AT GRIMALDI - Patienten mit TP53-Mutation</v>
      </c>
      <c r="C327" s="3" t="str">
        <f>HYPERLINK("https://otsuka-europe-crm.veevavault.com/ui/#object/sent_email__v/VBL00000000Q268", "SE-001391514")</f>
        <v>SE-001391514</v>
      </c>
      <c r="D327" s="1" t="s">
        <v>1</v>
      </c>
      <c r="E327" s="2">
        <v>0</v>
      </c>
      <c r="F327" s="2">
        <v>0</v>
      </c>
      <c r="G327" s="2">
        <v>0</v>
      </c>
      <c r="H327" s="1" t="s">
        <v>1</v>
      </c>
      <c r="I327" s="2">
        <v>0</v>
      </c>
      <c r="J327" s="1">
        <v>45982.469305555554</v>
      </c>
    </row>
    <row r="328" spans="1:10" x14ac:dyDescent="0.2">
      <c r="A328" s="4" t="s">
        <v>0</v>
      </c>
      <c r="B328" s="3" t="str">
        <f>HYPERLINK("https://otsuka-europe-crm.veevavault.com/ui/#object/approved_document__v/V5OZ025E82U22VQ", "INA VAE AT GRIMALDI - Patienten mit TP53-Mutation")</f>
        <v>INA VAE AT GRIMALDI - Patienten mit TP53-Mutation</v>
      </c>
      <c r="C328" s="3" t="str">
        <f>HYPERLINK("https://otsuka-europe-crm.veevavault.com/ui/#object/sent_email__v/VBL00000000Q269", "SE-001391515")</f>
        <v>SE-001391515</v>
      </c>
      <c r="D328" s="1">
        <v>45996.828530092593</v>
      </c>
      <c r="E328" s="2">
        <v>1</v>
      </c>
      <c r="F328" s="2">
        <v>1</v>
      </c>
      <c r="G328" s="2">
        <v>0</v>
      </c>
      <c r="H328" s="1" t="s">
        <v>1</v>
      </c>
      <c r="I328" s="2">
        <v>0</v>
      </c>
      <c r="J328" s="1">
        <v>45982.469675925924</v>
      </c>
    </row>
    <row r="329" spans="1:10" x14ac:dyDescent="0.2">
      <c r="A329" s="4" t="s">
        <v>0</v>
      </c>
      <c r="B329" s="3" t="str">
        <f>HYPERLINK("https://otsuka-europe-crm.veevavault.com/ui/#object/approved_document__v/V5OZ025E82U22VQ", "INA VAE AT GRIMALDI - Patienten mit TP53-Mutation")</f>
        <v>INA VAE AT GRIMALDI - Patienten mit TP53-Mutation</v>
      </c>
      <c r="C329" s="3" t="str">
        <f>HYPERLINK("https://otsuka-europe-crm.veevavault.com/ui/#object/sent_email__v/VBL00000000P188", "SE-001391516")</f>
        <v>SE-001391516</v>
      </c>
      <c r="D329" s="1">
        <v>45982.4924537037</v>
      </c>
      <c r="E329" s="2">
        <v>1</v>
      </c>
      <c r="F329" s="2">
        <v>1</v>
      </c>
      <c r="G329" s="2">
        <v>0</v>
      </c>
      <c r="H329" s="1" t="s">
        <v>1</v>
      </c>
      <c r="I329" s="2">
        <v>0</v>
      </c>
      <c r="J329" s="1">
        <v>45982.47016203704</v>
      </c>
    </row>
    <row r="330" spans="1:10" x14ac:dyDescent="0.2">
      <c r="A330" s="4" t="s">
        <v>0</v>
      </c>
      <c r="B330" s="3" t="str">
        <f>HYPERLINK("https://otsuka-europe-crm.veevavault.com/ui/#object/approved_document__v/V5OZ025E82U22VQ", "INA VAE AT GRIMALDI - Patienten mit TP53-Mutation")</f>
        <v>INA VAE AT GRIMALDI - Patienten mit TP53-Mutation</v>
      </c>
      <c r="C330" s="3" t="str">
        <f>HYPERLINK("https://otsuka-europe-crm.veevavault.com/ui/#object/sent_email__v/VBL00000000Q270", "SE-001391517")</f>
        <v>SE-001391517</v>
      </c>
      <c r="D330" s="1" t="s">
        <v>1</v>
      </c>
      <c r="E330" s="2">
        <v>0</v>
      </c>
      <c r="F330" s="2">
        <v>0</v>
      </c>
      <c r="G330" s="2">
        <v>0</v>
      </c>
      <c r="H330" s="1" t="s">
        <v>1</v>
      </c>
      <c r="I330" s="2">
        <v>0</v>
      </c>
      <c r="J330" s="1">
        <v>45982.470833333333</v>
      </c>
    </row>
    <row r="331" spans="1:10" x14ac:dyDescent="0.2">
      <c r="A331" s="4" t="s">
        <v>0</v>
      </c>
      <c r="B331" s="3" t="str">
        <f>HYPERLINK("https://otsuka-europe-crm.veevavault.com/ui/#object/approved_document__v/V5OZ025E82U22VQ", "INA VAE AT GRIMALDI - Patienten mit TP53-Mutation")</f>
        <v>INA VAE AT GRIMALDI - Patienten mit TP53-Mutation</v>
      </c>
      <c r="C331" s="3" t="str">
        <f>HYPERLINK("https://otsuka-europe-crm.veevavault.com/ui/#object/sent_email__v/VBL00000000Q271", "SE-001391518")</f>
        <v>SE-001391518</v>
      </c>
      <c r="D331" s="1" t="s">
        <v>1</v>
      </c>
      <c r="E331" s="2">
        <v>0</v>
      </c>
      <c r="F331" s="2">
        <v>0</v>
      </c>
      <c r="G331" s="2">
        <v>0</v>
      </c>
      <c r="H331" s="1" t="s">
        <v>1</v>
      </c>
      <c r="I331" s="2">
        <v>0</v>
      </c>
      <c r="J331" s="1">
        <v>45982.471250000002</v>
      </c>
    </row>
    <row r="332" spans="1:10" x14ac:dyDescent="0.2">
      <c r="A332" s="4" t="s">
        <v>0</v>
      </c>
      <c r="B332" s="3" t="str">
        <f>HYPERLINK("https://otsuka-europe-crm.veevavault.com/ui/#object/approved_document__v/V5OZ025E82U22VQ", "INA VAE AT GRIMALDI - Patienten mit TP53-Mutation")</f>
        <v>INA VAE AT GRIMALDI - Patienten mit TP53-Mutation</v>
      </c>
      <c r="C332" s="3" t="str">
        <f>HYPERLINK("https://otsuka-europe-crm.veevavault.com/ui/#object/sent_email__v/VBL00000000Q272", "SE-001391519")</f>
        <v>SE-001391519</v>
      </c>
      <c r="D332" s="1" t="s">
        <v>1</v>
      </c>
      <c r="E332" s="2">
        <v>0</v>
      </c>
      <c r="F332" s="2">
        <v>0</v>
      </c>
      <c r="G332" s="2">
        <v>0</v>
      </c>
      <c r="H332" s="1" t="s">
        <v>1</v>
      </c>
      <c r="I332" s="2">
        <v>0</v>
      </c>
      <c r="J332" s="1">
        <v>45982.471805555557</v>
      </c>
    </row>
    <row r="333" spans="1:10" x14ac:dyDescent="0.2">
      <c r="A333" s="4" t="s">
        <v>0</v>
      </c>
      <c r="B333" s="3" t="str">
        <f>HYPERLINK("https://otsuka-europe-crm.veevavault.com/ui/#object/approved_document__v/V5OZ025E82U22VQ", "INA VAE AT GRIMALDI - Patienten mit TP53-Mutation")</f>
        <v>INA VAE AT GRIMALDI - Patienten mit TP53-Mutation</v>
      </c>
      <c r="C333" s="3" t="str">
        <f>HYPERLINK("https://otsuka-europe-crm.veevavault.com/ui/#object/sent_email__v/VBL00000000Q273", "SE-001391520")</f>
        <v>SE-001391520</v>
      </c>
      <c r="D333" s="1" t="s">
        <v>1</v>
      </c>
      <c r="E333" s="2">
        <v>0</v>
      </c>
      <c r="F333" s="2">
        <v>0</v>
      </c>
      <c r="G333" s="2">
        <v>0</v>
      </c>
      <c r="H333" s="1" t="s">
        <v>1</v>
      </c>
      <c r="I333" s="2">
        <v>0</v>
      </c>
      <c r="J333" s="1">
        <v>45982.472638888888</v>
      </c>
    </row>
    <row r="334" spans="1:10" x14ac:dyDescent="0.2">
      <c r="A334" s="4" t="s">
        <v>0</v>
      </c>
      <c r="B334" s="3" t="str">
        <f>HYPERLINK("https://otsuka-europe-crm.veevavault.com/ui/#object/approved_document__v/V5OZ025E82U22VQ", "INA VAE AT GRIMALDI - Patienten mit TP53-Mutation")</f>
        <v>INA VAE AT GRIMALDI - Patienten mit TP53-Mutation</v>
      </c>
      <c r="C334" s="3" t="str">
        <f>HYPERLINK("https://otsuka-europe-crm.veevavault.com/ui/#object/sent_email__v/VBL00000000Q274", "SE-001391521")</f>
        <v>SE-001391521</v>
      </c>
      <c r="D334" s="1" t="s">
        <v>1</v>
      </c>
      <c r="E334" s="2">
        <v>0</v>
      </c>
      <c r="F334" s="2">
        <v>0</v>
      </c>
      <c r="G334" s="2">
        <v>0</v>
      </c>
      <c r="H334" s="1" t="s">
        <v>1</v>
      </c>
      <c r="I334" s="2">
        <v>0</v>
      </c>
      <c r="J334" s="1">
        <v>45982.473009259258</v>
      </c>
    </row>
    <row r="335" spans="1:10" x14ac:dyDescent="0.2">
      <c r="A335" s="4" t="s">
        <v>0</v>
      </c>
      <c r="B335" s="3" t="str">
        <f>HYPERLINK("https://otsuka-europe-crm.veevavault.com/ui/#object/approved_document__v/V5OZ025E82U22VQ", "INA VAE AT GRIMALDI - Patienten mit TP53-Mutation")</f>
        <v>INA VAE AT GRIMALDI - Patienten mit TP53-Mutation</v>
      </c>
      <c r="C335" s="3" t="str">
        <f>HYPERLINK("https://otsuka-europe-crm.veevavault.com/ui/#object/sent_email__v/VBL00000000P189", "SE-001391522")</f>
        <v>SE-001391522</v>
      </c>
      <c r="D335" s="1" t="s">
        <v>1</v>
      </c>
      <c r="E335" s="2">
        <v>0</v>
      </c>
      <c r="F335" s="2">
        <v>0</v>
      </c>
      <c r="G335" s="2">
        <v>0</v>
      </c>
      <c r="H335" s="1" t="s">
        <v>1</v>
      </c>
      <c r="I335" s="2">
        <v>0</v>
      </c>
      <c r="J335" s="1">
        <v>45982.473379629628</v>
      </c>
    </row>
    <row r="336" spans="1:10" x14ac:dyDescent="0.2">
      <c r="A336" s="4" t="s">
        <v>0</v>
      </c>
      <c r="B336" s="3" t="str">
        <f>HYPERLINK("https://otsuka-europe-crm.veevavault.com/ui/#object/approved_document__v/V5OZ025E82U22VQ", "INA VAE AT GRIMALDI - Patienten mit TP53-Mutation")</f>
        <v>INA VAE AT GRIMALDI - Patienten mit TP53-Mutation</v>
      </c>
      <c r="C336" s="3" t="str">
        <f>HYPERLINK("https://otsuka-europe-crm.veevavault.com/ui/#object/sent_email__v/VBL00000000Q275", "SE-001391523")</f>
        <v>SE-001391523</v>
      </c>
      <c r="D336" s="1" t="s">
        <v>1</v>
      </c>
      <c r="E336" s="2">
        <v>0</v>
      </c>
      <c r="F336" s="2">
        <v>0</v>
      </c>
      <c r="G336" s="2">
        <v>0</v>
      </c>
      <c r="H336" s="1" t="s">
        <v>1</v>
      </c>
      <c r="I336" s="2">
        <v>0</v>
      </c>
      <c r="J336" s="1">
        <v>45982.473854166667</v>
      </c>
    </row>
    <row r="337" spans="1:10" x14ac:dyDescent="0.2">
      <c r="A337" s="4" t="s">
        <v>0</v>
      </c>
      <c r="B337" s="3" t="str">
        <f>HYPERLINK("https://otsuka-europe-crm.veevavault.com/ui/#object/approved_document__v/V5OZ025E82U22VQ", "INA VAE AT GRIMALDI - Patienten mit TP53-Mutation")</f>
        <v>INA VAE AT GRIMALDI - Patienten mit TP53-Mutation</v>
      </c>
      <c r="C337" s="3" t="str">
        <f>HYPERLINK("https://otsuka-europe-crm.veevavault.com/ui/#object/sent_email__v/VBL00000000Q276", "SE-001391524")</f>
        <v>SE-001391524</v>
      </c>
      <c r="D337" s="1" t="s">
        <v>1</v>
      </c>
      <c r="E337" s="2">
        <v>0</v>
      </c>
      <c r="F337" s="2">
        <v>0</v>
      </c>
      <c r="G337" s="2">
        <v>0</v>
      </c>
      <c r="H337" s="1" t="s">
        <v>1</v>
      </c>
      <c r="I337" s="2">
        <v>0</v>
      </c>
      <c r="J337" s="1">
        <v>45982.474618055552</v>
      </c>
    </row>
    <row r="338" spans="1:10" x14ac:dyDescent="0.2">
      <c r="A338" s="4" t="s">
        <v>0</v>
      </c>
      <c r="B338" s="3" t="str">
        <f>HYPERLINK("https://otsuka-europe-crm.veevavault.com/ui/#object/approved_document__v/V5OZ025E82U22VQ", "INA VAE AT GRIMALDI - Patienten mit TP53-Mutation")</f>
        <v>INA VAE AT GRIMALDI - Patienten mit TP53-Mutation</v>
      </c>
      <c r="C338" s="3" t="str">
        <f>HYPERLINK("https://otsuka-europe-crm.veevavault.com/ui/#object/sent_email__v/VBL00000000Q277", "SE-001391525")</f>
        <v>SE-001391525</v>
      </c>
      <c r="D338" s="1" t="s">
        <v>1</v>
      </c>
      <c r="E338" s="2">
        <v>0</v>
      </c>
      <c r="F338" s="2">
        <v>0</v>
      </c>
      <c r="G338" s="2">
        <v>0</v>
      </c>
      <c r="H338" s="1" t="s">
        <v>1</v>
      </c>
      <c r="I338" s="2">
        <v>0</v>
      </c>
      <c r="J338" s="1">
        <v>45982.475081018521</v>
      </c>
    </row>
    <row r="339" spans="1:10" x14ac:dyDescent="0.2">
      <c r="A339" s="4" t="s">
        <v>0</v>
      </c>
      <c r="B339" s="3" t="str">
        <f>HYPERLINK("https://otsuka-europe-crm.veevavault.com/ui/#object/approved_document__v/V5OZ025E82U22VQ", "INA VAE AT GRIMALDI - Patienten mit TP53-Mutation")</f>
        <v>INA VAE AT GRIMALDI - Patienten mit TP53-Mutation</v>
      </c>
      <c r="C339" s="3" t="str">
        <f>HYPERLINK("https://otsuka-europe-crm.veevavault.com/ui/#object/sent_email__v/VBL00000000P190", "SE-001391526")</f>
        <v>SE-001391526</v>
      </c>
      <c r="D339" s="1">
        <v>45983.681701388887</v>
      </c>
      <c r="E339" s="2">
        <v>1</v>
      </c>
      <c r="F339" s="2">
        <v>1</v>
      </c>
      <c r="G339" s="2">
        <v>0</v>
      </c>
      <c r="H339" s="1" t="s">
        <v>1</v>
      </c>
      <c r="I339" s="2">
        <v>0</v>
      </c>
      <c r="J339" s="1">
        <v>45982.475462962961</v>
      </c>
    </row>
    <row r="340" spans="1:10" x14ac:dyDescent="0.2">
      <c r="A340" s="4" t="s">
        <v>0</v>
      </c>
      <c r="B340" s="3" t="str">
        <f>HYPERLINK("https://otsuka-europe-crm.veevavault.com/ui/#object/approved_document__v/V5OZ025E82U22VQ", "INA VAE AT GRIMALDI - Patienten mit TP53-Mutation")</f>
        <v>INA VAE AT GRIMALDI - Patienten mit TP53-Mutation</v>
      </c>
      <c r="C340" s="3" t="str">
        <f>HYPERLINK("https://otsuka-europe-crm.veevavault.com/ui/#object/sent_email__v/VBL00000000Q278", "SE-001391527")</f>
        <v>SE-001391527</v>
      </c>
      <c r="D340" s="1" t="s">
        <v>1</v>
      </c>
      <c r="E340" s="2">
        <v>0</v>
      </c>
      <c r="F340" s="2">
        <v>0</v>
      </c>
      <c r="G340" s="2">
        <v>0</v>
      </c>
      <c r="H340" s="1" t="s">
        <v>1</v>
      </c>
      <c r="I340" s="2">
        <v>0</v>
      </c>
      <c r="J340" s="1">
        <v>45982.475821759261</v>
      </c>
    </row>
    <row r="341" spans="1:10" x14ac:dyDescent="0.2">
      <c r="A341" s="4" t="s">
        <v>0</v>
      </c>
      <c r="B341" s="3" t="str">
        <f>HYPERLINK("https://otsuka-europe-crm.veevavault.com/ui/#object/approved_document__v/V5OZ025E82U22VQ", "INA VAE AT GRIMALDI - Patienten mit TP53-Mutation")</f>
        <v>INA VAE AT GRIMALDI - Patienten mit TP53-Mutation</v>
      </c>
      <c r="C341" s="3" t="str">
        <f>HYPERLINK("https://otsuka-europe-crm.veevavault.com/ui/#object/sent_email__v/VBL00000000P191", "SE-001391528")</f>
        <v>SE-001391528</v>
      </c>
      <c r="D341" s="1" t="s">
        <v>1</v>
      </c>
      <c r="E341" s="2">
        <v>0</v>
      </c>
      <c r="F341" s="2">
        <v>0</v>
      </c>
      <c r="G341" s="2">
        <v>0</v>
      </c>
      <c r="H341" s="1" t="s">
        <v>1</v>
      </c>
      <c r="I341" s="2">
        <v>0</v>
      </c>
      <c r="J341" s="1">
        <v>45982.476238425923</v>
      </c>
    </row>
    <row r="342" spans="1:10" x14ac:dyDescent="0.2">
      <c r="A342" s="4" t="s">
        <v>0</v>
      </c>
      <c r="B342" s="3" t="str">
        <f>HYPERLINK("https://otsuka-europe-crm.veevavault.com/ui/#object/approved_document__v/V5OZ025E82U22VQ", "INA VAE AT GRIMALDI - Patienten mit TP53-Mutation")</f>
        <v>INA VAE AT GRIMALDI - Patienten mit TP53-Mutation</v>
      </c>
      <c r="C342" s="3" t="str">
        <f>HYPERLINK("https://otsuka-europe-crm.veevavault.com/ui/#object/sent_email__v/VBL00000000P192", "SE-001391529")</f>
        <v>SE-001391529</v>
      </c>
      <c r="D342" s="1" t="s">
        <v>1</v>
      </c>
      <c r="E342" s="2">
        <v>0</v>
      </c>
      <c r="F342" s="2">
        <v>0</v>
      </c>
      <c r="G342" s="2">
        <v>0</v>
      </c>
      <c r="H342" s="1" t="s">
        <v>1</v>
      </c>
      <c r="I342" s="2">
        <v>0</v>
      </c>
      <c r="J342" s="1">
        <v>45982.476898148147</v>
      </c>
    </row>
    <row r="343" spans="1:10" x14ac:dyDescent="0.2">
      <c r="A343" s="4" t="s">
        <v>0</v>
      </c>
      <c r="B343" s="3" t="str">
        <f>HYPERLINK("https://otsuka-europe-crm.veevavault.com/ui/#object/approved_document__v/V5OZ025E82N38GO", "INAQOVI VAE AT - E-REP_Kitteltaschenkarte 04.25")</f>
        <v>INAQOVI VAE AT - E-REP_Kitteltaschenkarte 04.25</v>
      </c>
      <c r="C343" s="3" t="str">
        <f>HYPERLINK("https://otsuka-europe-crm.veevavault.com/ui/#object/sent_email__v/VBLZ025E82H9E7U", "SE-000283248")</f>
        <v>SE-000283248</v>
      </c>
      <c r="D343" s="1" t="s">
        <v>1</v>
      </c>
      <c r="E343" s="2">
        <v>0</v>
      </c>
      <c r="F343" s="2">
        <v>0</v>
      </c>
      <c r="G343" s="2">
        <v>0</v>
      </c>
      <c r="H343" s="1" t="s">
        <v>1</v>
      </c>
      <c r="I343" s="2">
        <v>0</v>
      </c>
      <c r="J343" s="1">
        <v>45933.456099537034</v>
      </c>
    </row>
    <row r="344" spans="1:10" x14ac:dyDescent="0.2">
      <c r="A344" s="4" t="s">
        <v>0</v>
      </c>
      <c r="B344" s="3" t="str">
        <f>HYPERLINK("https://otsuka-europe-crm.veevavault.com/ui/#object/approved_document__v/V5OZ025E82N38GQ", "INAQOVI VAE AT - E-REP_Launch Kommunikation 04.25")</f>
        <v>INAQOVI VAE AT - E-REP_Launch Kommunikation 04.25</v>
      </c>
      <c r="C344" s="3" t="str">
        <f>HYPERLINK("https://otsuka-europe-crm.veevavault.com/ui/#object/sent_email__v/VBLZ025E82H9VNL", "SE-000283250")</f>
        <v>SE-000283250</v>
      </c>
      <c r="D344" s="1">
        <v>45933.569652777776</v>
      </c>
      <c r="E344" s="2">
        <v>1</v>
      </c>
      <c r="F344" s="2">
        <v>1</v>
      </c>
      <c r="G344" s="2">
        <v>0</v>
      </c>
      <c r="H344" s="1" t="s">
        <v>1</v>
      </c>
      <c r="I344" s="2">
        <v>0</v>
      </c>
      <c r="J344" s="1">
        <v>45933.4687037037</v>
      </c>
    </row>
    <row r="345" spans="1:10" x14ac:dyDescent="0.2">
      <c r="A345" s="4" t="s">
        <v>0</v>
      </c>
      <c r="B345" s="3" t="str">
        <f>HYPERLINK("https://otsuka-europe-crm.veevavault.com/ui/#object/approved_document__v/V5OZ025E82UJ0IB", "INAQOVI VAE AT EREP- OeGHO-Kongress 2025 Bericht")</f>
        <v>INAQOVI VAE AT EREP- OeGHO-Kongress 2025 Bericht</v>
      </c>
      <c r="C345" s="3" t="str">
        <f>HYPERLINK("https://otsuka-europe-crm.veevavault.com/ui/#object/sent_email__v/VBLZ025E82HIEWP", "SE-000286776")</f>
        <v>SE-000286776</v>
      </c>
      <c r="D345" s="1">
        <v>45945.600787037038</v>
      </c>
      <c r="E345" s="2">
        <v>1</v>
      </c>
      <c r="F345" s="2">
        <v>2</v>
      </c>
      <c r="G345" s="2">
        <v>0</v>
      </c>
      <c r="H345" s="1" t="s">
        <v>1</v>
      </c>
      <c r="I345" s="2">
        <v>0</v>
      </c>
      <c r="J345" s="1">
        <v>45943.382245370369</v>
      </c>
    </row>
    <row r="346" spans="1:10" x14ac:dyDescent="0.2">
      <c r="A346" s="4" t="s">
        <v>0</v>
      </c>
      <c r="B346" s="3" t="str">
        <f>HYPERLINK("https://otsuka-europe-crm.veevavault.com/ui/#object/approved_document__v/V5OZ025E82UJ0IB", "INAQOVI VAE AT EREP- OeGHO-Kongress 2025 Bericht")</f>
        <v>INAQOVI VAE AT EREP- OeGHO-Kongress 2025 Bericht</v>
      </c>
      <c r="C346" s="3" t="str">
        <f>HYPERLINK("https://otsuka-europe-crm.veevavault.com/ui/#object/sent_email__v/VBLZ025E82HIGG9", "SE-000286783")</f>
        <v>SE-000286783</v>
      </c>
      <c r="D346" s="1">
        <v>45944.533229166664</v>
      </c>
      <c r="E346" s="2">
        <v>1</v>
      </c>
      <c r="F346" s="2">
        <v>4</v>
      </c>
      <c r="G346" s="2">
        <v>0</v>
      </c>
      <c r="H346" s="1" t="s">
        <v>1</v>
      </c>
      <c r="I346" s="2">
        <v>0</v>
      </c>
      <c r="J346" s="1">
        <v>45943.399652777778</v>
      </c>
    </row>
    <row r="347" spans="1:10" x14ac:dyDescent="0.2">
      <c r="A347" s="4" t="s">
        <v>0</v>
      </c>
      <c r="B347" s="3" t="str">
        <f>HYPERLINK("https://otsuka-europe-crm.veevavault.com/ui/#object/approved_document__v/V5OZ025E82UJ0IB", "INAQOVI VAE AT EREP- OeGHO-Kongress 2025 Bericht")</f>
        <v>INAQOVI VAE AT EREP- OeGHO-Kongress 2025 Bericht</v>
      </c>
      <c r="C347" s="3" t="str">
        <f>HYPERLINK("https://otsuka-europe-crm.veevavault.com/ui/#object/sent_email__v/VBL00000001B517", "SE-001403854")</f>
        <v>SE-001403854</v>
      </c>
      <c r="D347" s="1" t="s">
        <v>1</v>
      </c>
      <c r="E347" s="2">
        <v>0</v>
      </c>
      <c r="F347" s="2">
        <v>0</v>
      </c>
      <c r="G347" s="2">
        <v>0</v>
      </c>
      <c r="H347" s="1" t="s">
        <v>1</v>
      </c>
      <c r="I347" s="2">
        <v>0</v>
      </c>
      <c r="J347" s="1">
        <v>46065.446770833332</v>
      </c>
    </row>
    <row r="348" spans="1:10" x14ac:dyDescent="0.2">
      <c r="A348" s="4" t="s">
        <v>0</v>
      </c>
      <c r="B348" s="3" t="str">
        <f>HYPERLINK("https://otsuka-europe-crm.veevavault.com/ui/#object/approved_document__v/V5OZ025E82UJ0IB", "INAQOVI VAE AT EREP- OeGHO-Kongress 2025 Bericht")</f>
        <v>INAQOVI VAE AT EREP- OeGHO-Kongress 2025 Bericht</v>
      </c>
      <c r="C348" s="3" t="str">
        <f>HYPERLINK("https://otsuka-europe-crm.veevavault.com/ui/#object/sent_email__v/VBL00000001B553", "SE-001403916")</f>
        <v>SE-001403916</v>
      </c>
      <c r="D348" s="1" t="s">
        <v>1</v>
      </c>
      <c r="E348" s="2">
        <v>0</v>
      </c>
      <c r="F348" s="2">
        <v>0</v>
      </c>
      <c r="G348" s="2">
        <v>0</v>
      </c>
      <c r="H348" s="1" t="s">
        <v>1</v>
      </c>
      <c r="I348" s="2">
        <v>0</v>
      </c>
      <c r="J348" s="1">
        <v>46065.460717592592</v>
      </c>
    </row>
    <row r="349" spans="1:10" x14ac:dyDescent="0.2">
      <c r="A349" s="4" t="s">
        <v>0</v>
      </c>
      <c r="B349" s="3" t="str">
        <f>HYPERLINK("https://otsuka-europe-crm.veevavault.com/ui/#object/approved_document__v/V5OZ025E82UJ0IB", "INAQOVI VAE AT EREP- OeGHO-Kongress 2025 Bericht")</f>
        <v>INAQOVI VAE AT EREP- OeGHO-Kongress 2025 Bericht</v>
      </c>
      <c r="C349" s="3" t="str">
        <f>HYPERLINK("https://otsuka-europe-crm.veevavault.com/ui/#object/sent_email__v/VBL00000001B561", "SE-001403932")</f>
        <v>SE-001403932</v>
      </c>
      <c r="D349" s="1" t="s">
        <v>1</v>
      </c>
      <c r="E349" s="2">
        <v>0</v>
      </c>
      <c r="F349" s="2">
        <v>0</v>
      </c>
      <c r="G349" s="2">
        <v>0</v>
      </c>
      <c r="H349" s="1" t="s">
        <v>1</v>
      </c>
      <c r="I349" s="2">
        <v>0</v>
      </c>
      <c r="J349" s="1">
        <v>46065.513275462959</v>
      </c>
    </row>
    <row r="350" spans="1:10" x14ac:dyDescent="0.2">
      <c r="A350" s="4" t="s">
        <v>0</v>
      </c>
      <c r="B350" s="3" t="str">
        <f>HYPERLINK("https://otsuka-europe-crm.veevavault.com/ui/#object/approved_document__v/V5OZ025E82UJ0IB", "INAQOVI VAE AT EREP- OeGHO-Kongress 2025 Bericht")</f>
        <v>INAQOVI VAE AT EREP- OeGHO-Kongress 2025 Bericht</v>
      </c>
      <c r="C350" s="3" t="str">
        <f>HYPERLINK("https://otsuka-europe-crm.veevavault.com/ui/#object/sent_email__v/VBL00000001D004", "SE-001403982")</f>
        <v>SE-001403982</v>
      </c>
      <c r="D350" s="1" t="s">
        <v>1</v>
      </c>
      <c r="E350" s="2">
        <v>0</v>
      </c>
      <c r="F350" s="2">
        <v>0</v>
      </c>
      <c r="G350" s="2">
        <v>0</v>
      </c>
      <c r="H350" s="1" t="s">
        <v>1</v>
      </c>
      <c r="I350" s="2">
        <v>0</v>
      </c>
      <c r="J350" s="1">
        <v>46066.365752314814</v>
      </c>
    </row>
    <row r="351" spans="1:10" x14ac:dyDescent="0.2">
      <c r="A351" s="4" t="s">
        <v>0</v>
      </c>
      <c r="B351" s="3" t="str">
        <f>HYPERLINK("https://otsuka-europe-crm.veevavault.com/ui/#object/approved_document__v/V5OZ025E82UJ0IB", "INAQOVI VAE AT EREP- OeGHO-Kongress 2025 Bericht")</f>
        <v>INAQOVI VAE AT EREP- OeGHO-Kongress 2025 Bericht</v>
      </c>
      <c r="C351" s="3" t="str">
        <f>HYPERLINK("https://otsuka-europe-crm.veevavault.com/ui/#object/sent_email__v/VBL00000001G029", "SE-001405196")</f>
        <v>SE-001405196</v>
      </c>
      <c r="D351" s="1" t="s">
        <v>1</v>
      </c>
      <c r="E351" s="2">
        <v>0</v>
      </c>
      <c r="F351" s="2">
        <v>0</v>
      </c>
      <c r="G351" s="2">
        <v>0</v>
      </c>
      <c r="H351" s="1" t="s">
        <v>1</v>
      </c>
      <c r="I351" s="2">
        <v>0</v>
      </c>
      <c r="J351" s="1">
        <v>46073.417673611111</v>
      </c>
    </row>
    <row r="352" spans="1:10" x14ac:dyDescent="0.2">
      <c r="A352" s="4" t="s">
        <v>0</v>
      </c>
      <c r="B352" s="3" t="str">
        <f>HYPERLINK("https://otsuka-europe-crm.veevavault.com/ui/#object/approved_document__v/V5O000000004024", "VAE AT - Einladung LN Webinar Nov 2025 (Infektiologie)")</f>
        <v>VAE AT - Einladung LN Webinar Nov 2025 (Infektiologie)</v>
      </c>
      <c r="C352" s="3" t="str">
        <f>HYPERLINK("https://otsuka-europe-crm.veevavault.com/ui/#object/sent_email__v/VBL000000005863", "SE-001380787")</f>
        <v>SE-001380787</v>
      </c>
      <c r="D352" s="1">
        <v>45967.349872685183</v>
      </c>
      <c r="E352" s="2">
        <v>1</v>
      </c>
      <c r="F352" s="2">
        <v>1</v>
      </c>
      <c r="G352" s="2">
        <v>0</v>
      </c>
      <c r="H352" s="1" t="s">
        <v>1</v>
      </c>
      <c r="I352" s="2">
        <v>0</v>
      </c>
      <c r="J352" s="1">
        <v>45966.343495370369</v>
      </c>
    </row>
    <row r="353" spans="1:10" x14ac:dyDescent="0.2">
      <c r="A353" s="4" t="s">
        <v>0</v>
      </c>
      <c r="B353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3" s="3" t="str">
        <f>HYPERLINK("https://otsuka-europe-crm.veevavault.com/ui/#object/sent_email__v/VBL000000005864", "SE-001380788")</f>
        <v>SE-001380788</v>
      </c>
      <c r="D353" s="1" t="s">
        <v>1</v>
      </c>
      <c r="E353" s="2">
        <v>0</v>
      </c>
      <c r="F353" s="2">
        <v>0</v>
      </c>
      <c r="G353" s="2">
        <v>0</v>
      </c>
      <c r="H353" s="1" t="s">
        <v>1</v>
      </c>
      <c r="I353" s="2">
        <v>0</v>
      </c>
      <c r="J353" s="1">
        <v>45966.345173611109</v>
      </c>
    </row>
    <row r="354" spans="1:10" x14ac:dyDescent="0.2">
      <c r="A354" s="4" t="s">
        <v>0</v>
      </c>
      <c r="B354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4" s="3" t="str">
        <f>HYPERLINK("https://otsuka-europe-crm.veevavault.com/ui/#object/sent_email__v/VBL000000005865", "SE-001380789")</f>
        <v>SE-001380789</v>
      </c>
      <c r="D354" s="1">
        <v>45966.424259259256</v>
      </c>
      <c r="E354" s="2">
        <v>1</v>
      </c>
      <c r="F354" s="2">
        <v>4</v>
      </c>
      <c r="G354" s="2">
        <v>0</v>
      </c>
      <c r="H354" s="1" t="s">
        <v>1</v>
      </c>
      <c r="I354" s="2">
        <v>0</v>
      </c>
      <c r="J354" s="1">
        <v>45966.350590277776</v>
      </c>
    </row>
    <row r="355" spans="1:10" x14ac:dyDescent="0.2">
      <c r="A355" s="4" t="s">
        <v>0</v>
      </c>
      <c r="B355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5" s="3" t="str">
        <f>HYPERLINK("https://otsuka-europe-crm.veevavault.com/ui/#object/sent_email__v/VBL000000005866", "SE-001380790")</f>
        <v>SE-001380790</v>
      </c>
      <c r="D355" s="1">
        <v>45966.52847222222</v>
      </c>
      <c r="E355" s="2">
        <v>1</v>
      </c>
      <c r="F355" s="2">
        <v>2</v>
      </c>
      <c r="G355" s="2">
        <v>0</v>
      </c>
      <c r="H355" s="1" t="s">
        <v>1</v>
      </c>
      <c r="I355" s="2">
        <v>0</v>
      </c>
      <c r="J355" s="1">
        <v>45966.350960648146</v>
      </c>
    </row>
    <row r="356" spans="1:10" x14ac:dyDescent="0.2">
      <c r="A356" s="4" t="s">
        <v>0</v>
      </c>
      <c r="B356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6" s="3" t="str">
        <f>HYPERLINK("https://otsuka-europe-crm.veevavault.com/ui/#object/sent_email__v/VBL000000004455", "SE-001380791")</f>
        <v>SE-001380791</v>
      </c>
      <c r="D356" s="1" t="s">
        <v>1</v>
      </c>
      <c r="E356" s="2">
        <v>0</v>
      </c>
      <c r="F356" s="2">
        <v>0</v>
      </c>
      <c r="G356" s="2">
        <v>0</v>
      </c>
      <c r="H356" s="1" t="s">
        <v>1</v>
      </c>
      <c r="I356" s="2">
        <v>0</v>
      </c>
      <c r="J356" s="1">
        <v>45966.351273148146</v>
      </c>
    </row>
    <row r="357" spans="1:10" x14ac:dyDescent="0.2">
      <c r="A357" s="4" t="s">
        <v>0</v>
      </c>
      <c r="B357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7" s="3" t="str">
        <f>HYPERLINK("https://otsuka-europe-crm.veevavault.com/ui/#object/sent_email__v/VBL000000004456", "SE-001380792")</f>
        <v>SE-001380792</v>
      </c>
      <c r="D357" s="1" t="s">
        <v>1</v>
      </c>
      <c r="E357" s="2">
        <v>0</v>
      </c>
      <c r="F357" s="2">
        <v>0</v>
      </c>
      <c r="G357" s="2">
        <v>0</v>
      </c>
      <c r="H357" s="1" t="s">
        <v>1</v>
      </c>
      <c r="I357" s="2">
        <v>0</v>
      </c>
      <c r="J357" s="1">
        <v>45966.351620370369</v>
      </c>
    </row>
    <row r="358" spans="1:10" x14ac:dyDescent="0.2">
      <c r="A358" s="4" t="s">
        <v>0</v>
      </c>
      <c r="B358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8" s="3" t="str">
        <f>HYPERLINK("https://otsuka-europe-crm.veevavault.com/ui/#object/sent_email__v/VBL000000005867", "SE-001380793")</f>
        <v>SE-001380793</v>
      </c>
      <c r="D358" s="1" t="s">
        <v>1</v>
      </c>
      <c r="E358" s="2">
        <v>0</v>
      </c>
      <c r="F358" s="2">
        <v>0</v>
      </c>
      <c r="G358" s="2">
        <v>0</v>
      </c>
      <c r="H358" s="1" t="s">
        <v>1</v>
      </c>
      <c r="I358" s="2">
        <v>0</v>
      </c>
      <c r="J358" s="1">
        <v>45966.351921296293</v>
      </c>
    </row>
    <row r="359" spans="1:10" x14ac:dyDescent="0.2">
      <c r="A359" s="4" t="s">
        <v>0</v>
      </c>
      <c r="B359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59" s="3" t="str">
        <f>HYPERLINK("https://otsuka-europe-crm.veevavault.com/ui/#object/sent_email__v/VBL000000005868", "SE-001380794")</f>
        <v>SE-001380794</v>
      </c>
      <c r="D359" s="1" t="s">
        <v>1</v>
      </c>
      <c r="E359" s="2">
        <v>0</v>
      </c>
      <c r="F359" s="2">
        <v>0</v>
      </c>
      <c r="G359" s="2">
        <v>0</v>
      </c>
      <c r="H359" s="1" t="s">
        <v>1</v>
      </c>
      <c r="I359" s="2">
        <v>0</v>
      </c>
      <c r="J359" s="1">
        <v>45966.352349537039</v>
      </c>
    </row>
    <row r="360" spans="1:10" x14ac:dyDescent="0.2">
      <c r="A360" s="4" t="s">
        <v>0</v>
      </c>
      <c r="B360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0" s="3" t="str">
        <f>HYPERLINK("https://otsuka-europe-crm.veevavault.com/ui/#object/sent_email__v/VBL000000004457", "SE-001380795")</f>
        <v>SE-001380795</v>
      </c>
      <c r="D360" s="1" t="s">
        <v>1</v>
      </c>
      <c r="E360" s="2">
        <v>0</v>
      </c>
      <c r="F360" s="2">
        <v>0</v>
      </c>
      <c r="G360" s="2">
        <v>0</v>
      </c>
      <c r="H360" s="1" t="s">
        <v>1</v>
      </c>
      <c r="I360" s="2">
        <v>0</v>
      </c>
      <c r="J360" s="1">
        <v>45966.352696759262</v>
      </c>
    </row>
    <row r="361" spans="1:10" x14ac:dyDescent="0.2">
      <c r="A361" s="4" t="s">
        <v>0</v>
      </c>
      <c r="B361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1" s="3" t="str">
        <f>HYPERLINK("https://otsuka-europe-crm.veevavault.com/ui/#object/sent_email__v/VBL000000004458", "SE-001380796")</f>
        <v>SE-001380796</v>
      </c>
      <c r="D361" s="1">
        <v>45968.704085648147</v>
      </c>
      <c r="E361" s="2">
        <v>1</v>
      </c>
      <c r="F361" s="2">
        <v>2</v>
      </c>
      <c r="G361" s="2">
        <v>1</v>
      </c>
      <c r="H361" s="1">
        <v>45970.862974537034</v>
      </c>
      <c r="I361" s="2">
        <v>2</v>
      </c>
      <c r="J361" s="1">
        <v>45966.353032407409</v>
      </c>
    </row>
    <row r="362" spans="1:10" x14ac:dyDescent="0.2">
      <c r="A362" s="4" t="s">
        <v>0</v>
      </c>
      <c r="B362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2" s="3" t="str">
        <f>HYPERLINK("https://otsuka-europe-crm.veevavault.com/ui/#object/sent_email__v/VBL000000005869", "SE-001380797")</f>
        <v>SE-001380797</v>
      </c>
      <c r="D362" s="1" t="s">
        <v>1</v>
      </c>
      <c r="E362" s="2">
        <v>0</v>
      </c>
      <c r="F362" s="2">
        <v>0</v>
      </c>
      <c r="G362" s="2">
        <v>0</v>
      </c>
      <c r="H362" s="1" t="s">
        <v>1</v>
      </c>
      <c r="I362" s="2">
        <v>0</v>
      </c>
      <c r="J362" s="1">
        <v>45966.353425925925</v>
      </c>
    </row>
    <row r="363" spans="1:10" x14ac:dyDescent="0.2">
      <c r="A363" s="4" t="s">
        <v>0</v>
      </c>
      <c r="B363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3" s="3" t="str">
        <f>HYPERLINK("https://otsuka-europe-crm.veevavault.com/ui/#object/sent_email__v/VBL000000005870", "SE-001380798")</f>
        <v>SE-001380798</v>
      </c>
      <c r="D363" s="1">
        <v>45967.667557870373</v>
      </c>
      <c r="E363" s="2">
        <v>1</v>
      </c>
      <c r="F363" s="2">
        <v>2</v>
      </c>
      <c r="G363" s="2">
        <v>0</v>
      </c>
      <c r="H363" s="1" t="s">
        <v>1</v>
      </c>
      <c r="I363" s="2">
        <v>0</v>
      </c>
      <c r="J363" s="1">
        <v>45966.353877314818</v>
      </c>
    </row>
    <row r="364" spans="1:10" x14ac:dyDescent="0.2">
      <c r="A364" s="4" t="s">
        <v>0</v>
      </c>
      <c r="B364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4" s="3" t="str">
        <f>HYPERLINK("https://otsuka-europe-crm.veevavault.com/ui/#object/sent_email__v/VBL000000005871", "SE-001380799")</f>
        <v>SE-001380799</v>
      </c>
      <c r="D364" s="1" t="s">
        <v>1</v>
      </c>
      <c r="E364" s="2">
        <v>0</v>
      </c>
      <c r="F364" s="2">
        <v>0</v>
      </c>
      <c r="G364" s="2">
        <v>0</v>
      </c>
      <c r="H364" s="1" t="s">
        <v>1</v>
      </c>
      <c r="I364" s="2">
        <v>0</v>
      </c>
      <c r="J364" s="1">
        <v>45966.354155092595</v>
      </c>
    </row>
    <row r="365" spans="1:10" x14ac:dyDescent="0.2">
      <c r="A365" s="4" t="s">
        <v>0</v>
      </c>
      <c r="B365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5" s="3" t="str">
        <f>HYPERLINK("https://otsuka-europe-crm.veevavault.com/ui/#object/sent_email__v/VBL000000005872", "SE-001380800")</f>
        <v>SE-001380800</v>
      </c>
      <c r="D365" s="1" t="s">
        <v>1</v>
      </c>
      <c r="E365" s="2">
        <v>0</v>
      </c>
      <c r="F365" s="2">
        <v>0</v>
      </c>
      <c r="G365" s="2">
        <v>0</v>
      </c>
      <c r="H365" s="1" t="s">
        <v>1</v>
      </c>
      <c r="I365" s="2">
        <v>0</v>
      </c>
      <c r="J365" s="1">
        <v>45966.354490740741</v>
      </c>
    </row>
    <row r="366" spans="1:10" x14ac:dyDescent="0.2">
      <c r="A366" s="4" t="s">
        <v>0</v>
      </c>
      <c r="B366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6" s="3" t="str">
        <f>HYPERLINK("https://otsuka-europe-crm.veevavault.com/ui/#object/sent_email__v/VBL000000005873", "SE-001380801")</f>
        <v>SE-001380801</v>
      </c>
      <c r="D366" s="1" t="s">
        <v>1</v>
      </c>
      <c r="E366" s="2">
        <v>0</v>
      </c>
      <c r="F366" s="2">
        <v>0</v>
      </c>
      <c r="G366" s="2">
        <v>0</v>
      </c>
      <c r="H366" s="1" t="s">
        <v>1</v>
      </c>
      <c r="I366" s="2">
        <v>0</v>
      </c>
      <c r="J366" s="1">
        <v>45966.354826388888</v>
      </c>
    </row>
    <row r="367" spans="1:10" x14ac:dyDescent="0.2">
      <c r="A367" s="4" t="s">
        <v>0</v>
      </c>
      <c r="B367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7" s="3" t="str">
        <f>HYPERLINK("https://otsuka-europe-crm.veevavault.com/ui/#object/sent_email__v/VBL000000005874", "SE-001380802")</f>
        <v>SE-001380802</v>
      </c>
      <c r="D367" s="1" t="s">
        <v>1</v>
      </c>
      <c r="E367" s="2">
        <v>0</v>
      </c>
      <c r="F367" s="2">
        <v>0</v>
      </c>
      <c r="G367" s="2">
        <v>0</v>
      </c>
      <c r="H367" s="1" t="s">
        <v>1</v>
      </c>
      <c r="I367" s="2">
        <v>0</v>
      </c>
      <c r="J367" s="1">
        <v>45966.355185185188</v>
      </c>
    </row>
    <row r="368" spans="1:10" x14ac:dyDescent="0.2">
      <c r="A368" s="4" t="s">
        <v>0</v>
      </c>
      <c r="B368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8" s="3" t="str">
        <f>HYPERLINK("https://otsuka-europe-crm.veevavault.com/ui/#object/sent_email__v/VBL000000005875", "SE-001380803")</f>
        <v>SE-001380803</v>
      </c>
      <c r="D368" s="1" t="s">
        <v>1</v>
      </c>
      <c r="E368" s="2">
        <v>0</v>
      </c>
      <c r="F368" s="2">
        <v>0</v>
      </c>
      <c r="G368" s="2">
        <v>0</v>
      </c>
      <c r="H368" s="1" t="s">
        <v>1</v>
      </c>
      <c r="I368" s="2">
        <v>0</v>
      </c>
      <c r="J368" s="1">
        <v>45966.355405092596</v>
      </c>
    </row>
    <row r="369" spans="1:10" x14ac:dyDescent="0.2">
      <c r="A369" s="4" t="s">
        <v>0</v>
      </c>
      <c r="B369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69" s="3" t="str">
        <f>HYPERLINK("https://otsuka-europe-crm.veevavault.com/ui/#object/sent_email__v/VBL000000005876", "SE-001380804")</f>
        <v>SE-001380804</v>
      </c>
      <c r="D369" s="1">
        <v>45966.50068287037</v>
      </c>
      <c r="E369" s="2">
        <v>1</v>
      </c>
      <c r="F369" s="2">
        <v>1</v>
      </c>
      <c r="G369" s="2">
        <v>1</v>
      </c>
      <c r="H369" s="1">
        <v>45966.50068287037</v>
      </c>
      <c r="I369" s="2">
        <v>1</v>
      </c>
      <c r="J369" s="1">
        <v>45966.355740740742</v>
      </c>
    </row>
    <row r="370" spans="1:10" x14ac:dyDescent="0.2">
      <c r="A370" s="4" t="s">
        <v>0</v>
      </c>
      <c r="B370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0" s="3" t="str">
        <f>HYPERLINK("https://otsuka-europe-crm.veevavault.com/ui/#object/sent_email__v/VBL000000005877", "SE-001380805")</f>
        <v>SE-001380805</v>
      </c>
      <c r="D370" s="1" t="s">
        <v>1</v>
      </c>
      <c r="E370" s="2">
        <v>0</v>
      </c>
      <c r="F370" s="2">
        <v>0</v>
      </c>
      <c r="G370" s="2">
        <v>0</v>
      </c>
      <c r="H370" s="1" t="s">
        <v>1</v>
      </c>
      <c r="I370" s="2">
        <v>0</v>
      </c>
      <c r="J370" s="1">
        <v>45966.356006944443</v>
      </c>
    </row>
    <row r="371" spans="1:10" x14ac:dyDescent="0.2">
      <c r="A371" s="4" t="s">
        <v>0</v>
      </c>
      <c r="B371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1" s="3" t="str">
        <f>HYPERLINK("https://otsuka-europe-crm.veevavault.com/ui/#object/sent_email__v/VBL000000005878", "SE-001380806")</f>
        <v>SE-001380806</v>
      </c>
      <c r="D371" s="1" t="s">
        <v>1</v>
      </c>
      <c r="E371" s="2">
        <v>0</v>
      </c>
      <c r="F371" s="2">
        <v>0</v>
      </c>
      <c r="G371" s="2">
        <v>0</v>
      </c>
      <c r="H371" s="1" t="s">
        <v>1</v>
      </c>
      <c r="I371" s="2">
        <v>0</v>
      </c>
      <c r="J371" s="1">
        <v>45966.35633101852</v>
      </c>
    </row>
    <row r="372" spans="1:10" x14ac:dyDescent="0.2">
      <c r="A372" s="4" t="s">
        <v>0</v>
      </c>
      <c r="B372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2" s="3" t="str">
        <f>HYPERLINK("https://otsuka-europe-crm.veevavault.com/ui/#object/sent_email__v/VBL000000005879", "SE-001380807")</f>
        <v>SE-001380807</v>
      </c>
      <c r="D372" s="1">
        <v>45966.357071759259</v>
      </c>
      <c r="E372" s="2">
        <v>1</v>
      </c>
      <c r="F372" s="2">
        <v>1</v>
      </c>
      <c r="G372" s="2">
        <v>0</v>
      </c>
      <c r="H372" s="1" t="s">
        <v>1</v>
      </c>
      <c r="I372" s="2">
        <v>0</v>
      </c>
      <c r="J372" s="1">
        <v>45966.356886574074</v>
      </c>
    </row>
    <row r="373" spans="1:10" x14ac:dyDescent="0.2">
      <c r="A373" s="4" t="s">
        <v>0</v>
      </c>
      <c r="B373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3" s="3" t="str">
        <f>HYPERLINK("https://otsuka-europe-crm.veevavault.com/ui/#object/sent_email__v/VBL000000005880", "SE-001380808")</f>
        <v>SE-001380808</v>
      </c>
      <c r="D373" s="1" t="s">
        <v>1</v>
      </c>
      <c r="E373" s="2">
        <v>0</v>
      </c>
      <c r="F373" s="2">
        <v>0</v>
      </c>
      <c r="G373" s="2">
        <v>0</v>
      </c>
      <c r="H373" s="1" t="s">
        <v>1</v>
      </c>
      <c r="I373" s="2">
        <v>0</v>
      </c>
      <c r="J373" s="1">
        <v>45966.357141203705</v>
      </c>
    </row>
    <row r="374" spans="1:10" x14ac:dyDescent="0.2">
      <c r="A374" s="4" t="s">
        <v>0</v>
      </c>
      <c r="B374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4" s="3" t="str">
        <f>HYPERLINK("https://otsuka-europe-crm.veevavault.com/ui/#object/sent_email__v/VBL000000005881", "SE-001380809")</f>
        <v>SE-001380809</v>
      </c>
      <c r="D374" s="1" t="s">
        <v>1</v>
      </c>
      <c r="E374" s="2">
        <v>0</v>
      </c>
      <c r="F374" s="2">
        <v>0</v>
      </c>
      <c r="G374" s="2">
        <v>0</v>
      </c>
      <c r="H374" s="1" t="s">
        <v>1</v>
      </c>
      <c r="I374" s="2">
        <v>0</v>
      </c>
      <c r="J374" s="1">
        <v>45966.357395833336</v>
      </c>
    </row>
    <row r="375" spans="1:10" x14ac:dyDescent="0.2">
      <c r="A375" s="4" t="s">
        <v>0</v>
      </c>
      <c r="B375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5" s="3" t="str">
        <f>HYPERLINK("https://otsuka-europe-crm.veevavault.com/ui/#object/sent_email__v/VBL000000005882", "SE-001380810")</f>
        <v>SE-001380810</v>
      </c>
      <c r="D375" s="1">
        <v>45966.559710648151</v>
      </c>
      <c r="E375" s="2">
        <v>1</v>
      </c>
      <c r="F375" s="2">
        <v>1</v>
      </c>
      <c r="G375" s="2">
        <v>1</v>
      </c>
      <c r="H375" s="1">
        <v>45966.559710648151</v>
      </c>
      <c r="I375" s="2">
        <v>1</v>
      </c>
      <c r="J375" s="1">
        <v>45966.357789351852</v>
      </c>
    </row>
    <row r="376" spans="1:10" x14ac:dyDescent="0.2">
      <c r="A376" s="4" t="s">
        <v>0</v>
      </c>
      <c r="B376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6" s="3" t="str">
        <f>HYPERLINK("https://otsuka-europe-crm.veevavault.com/ui/#object/sent_email__v/VBL000000005883", "SE-001380811")</f>
        <v>SE-001380811</v>
      </c>
      <c r="D376" s="1" t="s">
        <v>1</v>
      </c>
      <c r="E376" s="2">
        <v>0</v>
      </c>
      <c r="F376" s="2">
        <v>0</v>
      </c>
      <c r="G376" s="2">
        <v>0</v>
      </c>
      <c r="H376" s="1" t="s">
        <v>1</v>
      </c>
      <c r="I376" s="2">
        <v>0</v>
      </c>
      <c r="J376" s="1">
        <v>45966.358055555553</v>
      </c>
    </row>
    <row r="377" spans="1:10" x14ac:dyDescent="0.2">
      <c r="A377" s="4" t="s">
        <v>0</v>
      </c>
      <c r="B377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7" s="3" t="str">
        <f>HYPERLINK("https://otsuka-europe-crm.veevavault.com/ui/#object/sent_email__v/VBL000000005885", "SE-001380813")</f>
        <v>SE-001380813</v>
      </c>
      <c r="D377" s="1" t="s">
        <v>1</v>
      </c>
      <c r="E377" s="2">
        <v>0</v>
      </c>
      <c r="F377" s="2">
        <v>0</v>
      </c>
      <c r="G377" s="2">
        <v>0</v>
      </c>
      <c r="H377" s="1" t="s">
        <v>1</v>
      </c>
      <c r="I377" s="2">
        <v>0</v>
      </c>
      <c r="J377" s="1">
        <v>45966.358761574076</v>
      </c>
    </row>
    <row r="378" spans="1:10" x14ac:dyDescent="0.2">
      <c r="A378" s="4" t="s">
        <v>0</v>
      </c>
      <c r="B378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8" s="3" t="str">
        <f>HYPERLINK("https://otsuka-europe-crm.veevavault.com/ui/#object/sent_email__v/VBL000000005886", "SE-001380814")</f>
        <v>SE-001380814</v>
      </c>
      <c r="D378" s="1">
        <v>45985.704212962963</v>
      </c>
      <c r="E378" s="2">
        <v>1</v>
      </c>
      <c r="F378" s="2">
        <v>3</v>
      </c>
      <c r="G378" s="2">
        <v>1</v>
      </c>
      <c r="H378" s="1">
        <v>45985.704097222224</v>
      </c>
      <c r="I378" s="2">
        <v>1</v>
      </c>
      <c r="J378" s="1">
        <v>45966.359016203707</v>
      </c>
    </row>
    <row r="379" spans="1:10" x14ac:dyDescent="0.2">
      <c r="A379" s="4" t="s">
        <v>0</v>
      </c>
      <c r="B379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79" s="3" t="str">
        <f>HYPERLINK("https://otsuka-europe-crm.veevavault.com/ui/#object/sent_email__v/VBL000000005887", "SE-001380815")</f>
        <v>SE-001380815</v>
      </c>
      <c r="D379" s="1" t="s">
        <v>1</v>
      </c>
      <c r="E379" s="2">
        <v>0</v>
      </c>
      <c r="F379" s="2">
        <v>0</v>
      </c>
      <c r="G379" s="2">
        <v>0</v>
      </c>
      <c r="H379" s="1" t="s">
        <v>1</v>
      </c>
      <c r="I379" s="2">
        <v>0</v>
      </c>
      <c r="J379" s="1">
        <v>45966.3593287037</v>
      </c>
    </row>
    <row r="380" spans="1:10" x14ac:dyDescent="0.2">
      <c r="A380" s="4" t="s">
        <v>0</v>
      </c>
      <c r="B380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0" s="3" t="str">
        <f>HYPERLINK("https://otsuka-europe-crm.veevavault.com/ui/#object/sent_email__v/VBL000000005888", "SE-001380816")</f>
        <v>SE-001380816</v>
      </c>
      <c r="D380" s="1" t="s">
        <v>1</v>
      </c>
      <c r="E380" s="2">
        <v>0</v>
      </c>
      <c r="F380" s="2">
        <v>0</v>
      </c>
      <c r="G380" s="2">
        <v>0</v>
      </c>
      <c r="H380" s="1" t="s">
        <v>1</v>
      </c>
      <c r="I380" s="2">
        <v>0</v>
      </c>
      <c r="J380" s="1">
        <v>45966.359548611108</v>
      </c>
    </row>
    <row r="381" spans="1:10" x14ac:dyDescent="0.2">
      <c r="A381" s="4" t="s">
        <v>0</v>
      </c>
      <c r="B381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1" s="3" t="str">
        <f>HYPERLINK("https://otsuka-europe-crm.veevavault.com/ui/#object/sent_email__v/VBL000000005890", "SE-001380818")</f>
        <v>SE-001380818</v>
      </c>
      <c r="D381" s="1" t="s">
        <v>1</v>
      </c>
      <c r="E381" s="2">
        <v>0</v>
      </c>
      <c r="F381" s="2">
        <v>0</v>
      </c>
      <c r="G381" s="2">
        <v>0</v>
      </c>
      <c r="H381" s="1" t="s">
        <v>1</v>
      </c>
      <c r="I381" s="2">
        <v>0</v>
      </c>
      <c r="J381" s="1">
        <v>45966.360312500001</v>
      </c>
    </row>
    <row r="382" spans="1:10" x14ac:dyDescent="0.2">
      <c r="A382" s="4" t="s">
        <v>0</v>
      </c>
      <c r="B382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2" s="3" t="str">
        <f>HYPERLINK("https://otsuka-europe-crm.veevavault.com/ui/#object/sent_email__v/VBL000000005892", "SE-001380820")</f>
        <v>SE-001380820</v>
      </c>
      <c r="D382" s="1" t="s">
        <v>1</v>
      </c>
      <c r="E382" s="2">
        <v>0</v>
      </c>
      <c r="F382" s="2">
        <v>0</v>
      </c>
      <c r="G382" s="2">
        <v>0</v>
      </c>
      <c r="H382" s="1" t="s">
        <v>1</v>
      </c>
      <c r="I382" s="2">
        <v>0</v>
      </c>
      <c r="J382" s="1">
        <v>45966.360821759263</v>
      </c>
    </row>
    <row r="383" spans="1:10" x14ac:dyDescent="0.2">
      <c r="A383" s="4" t="s">
        <v>0</v>
      </c>
      <c r="B383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3" s="3" t="str">
        <f>HYPERLINK("https://otsuka-europe-crm.veevavault.com/ui/#object/sent_email__v/VBL000000005895", "SE-001380823")</f>
        <v>SE-001380823</v>
      </c>
      <c r="D383" s="1" t="s">
        <v>1</v>
      </c>
      <c r="E383" s="2">
        <v>0</v>
      </c>
      <c r="F383" s="2">
        <v>0</v>
      </c>
      <c r="G383" s="2">
        <v>0</v>
      </c>
      <c r="H383" s="1" t="s">
        <v>1</v>
      </c>
      <c r="I383" s="2">
        <v>0</v>
      </c>
      <c r="J383" s="1">
        <v>45966.361655092594</v>
      </c>
    </row>
    <row r="384" spans="1:10" x14ac:dyDescent="0.2">
      <c r="A384" s="4" t="s">
        <v>0</v>
      </c>
      <c r="B384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4" s="3" t="str">
        <f>HYPERLINK("https://otsuka-europe-crm.veevavault.com/ui/#object/sent_email__v/VBL000000005900", "SE-001380828")</f>
        <v>SE-001380828</v>
      </c>
      <c r="D384" s="1">
        <v>46000.759016203701</v>
      </c>
      <c r="E384" s="2">
        <v>1</v>
      </c>
      <c r="F384" s="2">
        <v>6</v>
      </c>
      <c r="G384" s="2">
        <v>0</v>
      </c>
      <c r="H384" s="1" t="s">
        <v>1</v>
      </c>
      <c r="I384" s="2">
        <v>0</v>
      </c>
      <c r="J384" s="1">
        <v>45966.363958333335</v>
      </c>
    </row>
    <row r="385" spans="1:10" x14ac:dyDescent="0.2">
      <c r="A385" s="4" t="s">
        <v>0</v>
      </c>
      <c r="B385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5" s="3" t="str">
        <f>HYPERLINK("https://otsuka-europe-crm.veevavault.com/ui/#object/sent_email__v/VBL000000005906", "SE-001380835")</f>
        <v>SE-001380835</v>
      </c>
      <c r="D385" s="1" t="s">
        <v>1</v>
      </c>
      <c r="E385" s="2">
        <v>0</v>
      </c>
      <c r="F385" s="2">
        <v>0</v>
      </c>
      <c r="G385" s="2">
        <v>0</v>
      </c>
      <c r="H385" s="1" t="s">
        <v>1</v>
      </c>
      <c r="I385" s="2">
        <v>0</v>
      </c>
      <c r="J385" s="1">
        <v>45966.369212962964</v>
      </c>
    </row>
    <row r="386" spans="1:10" x14ac:dyDescent="0.2">
      <c r="A386" s="4" t="s">
        <v>0</v>
      </c>
      <c r="B386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6" s="3" t="str">
        <f>HYPERLINK("https://otsuka-europe-crm.veevavault.com/ui/#object/sent_email__v/VBL000000005911", "SE-001380843")</f>
        <v>SE-001380843</v>
      </c>
      <c r="D386" s="1" t="s">
        <v>1</v>
      </c>
      <c r="E386" s="2">
        <v>0</v>
      </c>
      <c r="F386" s="2">
        <v>0</v>
      </c>
      <c r="G386" s="2">
        <v>0</v>
      </c>
      <c r="H386" s="1" t="s">
        <v>1</v>
      </c>
      <c r="I386" s="2">
        <v>0</v>
      </c>
      <c r="J386" s="1">
        <v>45966.372847222221</v>
      </c>
    </row>
    <row r="387" spans="1:10" x14ac:dyDescent="0.2">
      <c r="A387" s="4" t="s">
        <v>0</v>
      </c>
      <c r="B387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7" s="3" t="str">
        <f>HYPERLINK("https://otsuka-europe-crm.veevavault.com/ui/#object/sent_email__v/VBL000000005912", "SE-001380844")</f>
        <v>SE-001380844</v>
      </c>
      <c r="D387" s="1" t="s">
        <v>1</v>
      </c>
      <c r="E387" s="2">
        <v>0</v>
      </c>
      <c r="F387" s="2">
        <v>0</v>
      </c>
      <c r="G387" s="2">
        <v>0</v>
      </c>
      <c r="H387" s="1" t="s">
        <v>1</v>
      </c>
      <c r="I387" s="2">
        <v>0</v>
      </c>
      <c r="J387" s="1">
        <v>45966.373252314814</v>
      </c>
    </row>
    <row r="388" spans="1:10" x14ac:dyDescent="0.2">
      <c r="A388" s="4" t="s">
        <v>0</v>
      </c>
      <c r="B388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8" s="3" t="str">
        <f>HYPERLINK("https://otsuka-europe-crm.veevavault.com/ui/#object/sent_email__v/VBL000000005913", "SE-001380845")</f>
        <v>SE-001380845</v>
      </c>
      <c r="D388" s="1">
        <v>45966.597916666666</v>
      </c>
      <c r="E388" s="2">
        <v>1</v>
      </c>
      <c r="F388" s="2">
        <v>1</v>
      </c>
      <c r="G388" s="2">
        <v>0</v>
      </c>
      <c r="H388" s="1" t="s">
        <v>1</v>
      </c>
      <c r="I388" s="2">
        <v>0</v>
      </c>
      <c r="J388" s="1">
        <v>45966.373865740738</v>
      </c>
    </row>
    <row r="389" spans="1:10" x14ac:dyDescent="0.2">
      <c r="A389" s="4" t="s">
        <v>0</v>
      </c>
      <c r="B389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89" s="3" t="str">
        <f>HYPERLINK("https://otsuka-europe-crm.veevavault.com/ui/#object/sent_email__v/VBL000000005914", "SE-001380846")</f>
        <v>SE-001380846</v>
      </c>
      <c r="D389" s="1" t="s">
        <v>1</v>
      </c>
      <c r="E389" s="2">
        <v>0</v>
      </c>
      <c r="F389" s="2">
        <v>0</v>
      </c>
      <c r="G389" s="2">
        <v>0</v>
      </c>
      <c r="H389" s="1" t="s">
        <v>1</v>
      </c>
      <c r="I389" s="2">
        <v>0</v>
      </c>
      <c r="J389" s="1">
        <v>45966.374178240738</v>
      </c>
    </row>
    <row r="390" spans="1:10" x14ac:dyDescent="0.2">
      <c r="A390" s="4" t="s">
        <v>0</v>
      </c>
      <c r="B390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0" s="3" t="str">
        <f>HYPERLINK("https://otsuka-europe-crm.veevavault.com/ui/#object/sent_email__v/VBL000000005915", "SE-001380847")</f>
        <v>SE-001380847</v>
      </c>
      <c r="D390" s="1" t="s">
        <v>1</v>
      </c>
      <c r="E390" s="2">
        <v>0</v>
      </c>
      <c r="F390" s="2">
        <v>0</v>
      </c>
      <c r="G390" s="2">
        <v>0</v>
      </c>
      <c r="H390" s="1" t="s">
        <v>1</v>
      </c>
      <c r="I390" s="2">
        <v>0</v>
      </c>
      <c r="J390" s="1">
        <v>45966.374745370369</v>
      </c>
    </row>
    <row r="391" spans="1:10" x14ac:dyDescent="0.2">
      <c r="A391" s="4" t="s">
        <v>0</v>
      </c>
      <c r="B391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1" s="3" t="str">
        <f>HYPERLINK("https://otsuka-europe-crm.veevavault.com/ui/#object/sent_email__v/VBL000000005916", "SE-001380848")</f>
        <v>SE-001380848</v>
      </c>
      <c r="D391" s="1" t="s">
        <v>1</v>
      </c>
      <c r="E391" s="2">
        <v>0</v>
      </c>
      <c r="F391" s="2">
        <v>0</v>
      </c>
      <c r="G391" s="2">
        <v>0</v>
      </c>
      <c r="H391" s="1" t="s">
        <v>1</v>
      </c>
      <c r="I391" s="2">
        <v>0</v>
      </c>
      <c r="J391" s="1">
        <v>45966.375509259262</v>
      </c>
    </row>
    <row r="392" spans="1:10" x14ac:dyDescent="0.2">
      <c r="A392" s="4" t="s">
        <v>0</v>
      </c>
      <c r="B392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2" s="3" t="str">
        <f>HYPERLINK("https://otsuka-europe-crm.veevavault.com/ui/#object/sent_email__v/VBL000000005917", "SE-001380849")</f>
        <v>SE-001380849</v>
      </c>
      <c r="D392" s="1" t="s">
        <v>1</v>
      </c>
      <c r="E392" s="2">
        <v>0</v>
      </c>
      <c r="F392" s="2">
        <v>0</v>
      </c>
      <c r="G392" s="2">
        <v>0</v>
      </c>
      <c r="H392" s="1" t="s">
        <v>1</v>
      </c>
      <c r="I392" s="2">
        <v>0</v>
      </c>
      <c r="J392" s="1">
        <v>45966.375856481478</v>
      </c>
    </row>
    <row r="393" spans="1:10" x14ac:dyDescent="0.2">
      <c r="A393" s="4" t="s">
        <v>0</v>
      </c>
      <c r="B393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3" s="3" t="str">
        <f>HYPERLINK("https://otsuka-europe-crm.veevavault.com/ui/#object/sent_email__v/VBL000000005919", "SE-001380851")</f>
        <v>SE-001380851</v>
      </c>
      <c r="D393" s="1">
        <v>45966.577777777777</v>
      </c>
      <c r="E393" s="2">
        <v>1</v>
      </c>
      <c r="F393" s="2">
        <v>2</v>
      </c>
      <c r="G393" s="2">
        <v>0</v>
      </c>
      <c r="H393" s="1" t="s">
        <v>1</v>
      </c>
      <c r="I393" s="2">
        <v>0</v>
      </c>
      <c r="J393" s="1">
        <v>45966.37840277778</v>
      </c>
    </row>
    <row r="394" spans="1:10" x14ac:dyDescent="0.2">
      <c r="A394" s="4" t="s">
        <v>0</v>
      </c>
      <c r="B394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4" s="3" t="str">
        <f>HYPERLINK("https://otsuka-europe-crm.veevavault.com/ui/#object/sent_email__v/VBL000000004463", "SE-001380852")</f>
        <v>SE-001380852</v>
      </c>
      <c r="D394" s="1" t="s">
        <v>1</v>
      </c>
      <c r="E394" s="2">
        <v>0</v>
      </c>
      <c r="F394" s="2">
        <v>0</v>
      </c>
      <c r="G394" s="2">
        <v>0</v>
      </c>
      <c r="H394" s="1" t="s">
        <v>1</v>
      </c>
      <c r="I394" s="2">
        <v>0</v>
      </c>
      <c r="J394" s="1">
        <v>45966.379363425927</v>
      </c>
    </row>
    <row r="395" spans="1:10" x14ac:dyDescent="0.2">
      <c r="A395" s="4" t="s">
        <v>0</v>
      </c>
      <c r="B395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5" s="3" t="str">
        <f>HYPERLINK("https://otsuka-europe-crm.veevavault.com/ui/#object/sent_email__v/VBL000000005920", "SE-001380854")</f>
        <v>SE-001380854</v>
      </c>
      <c r="D395" s="1" t="s">
        <v>1</v>
      </c>
      <c r="E395" s="2">
        <v>0</v>
      </c>
      <c r="F395" s="2">
        <v>0</v>
      </c>
      <c r="G395" s="2">
        <v>0</v>
      </c>
      <c r="H395" s="1" t="s">
        <v>1</v>
      </c>
      <c r="I395" s="2">
        <v>0</v>
      </c>
      <c r="J395" s="1">
        <v>45966.380578703705</v>
      </c>
    </row>
    <row r="396" spans="1:10" x14ac:dyDescent="0.2">
      <c r="A396" s="4" t="s">
        <v>0</v>
      </c>
      <c r="B396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6" s="3" t="str">
        <f>HYPERLINK("https://otsuka-europe-crm.veevavault.com/ui/#object/sent_email__v/VBL000000004468", "SE-001380860")</f>
        <v>SE-001380860</v>
      </c>
      <c r="D396" s="1" t="s">
        <v>1</v>
      </c>
      <c r="E396" s="2">
        <v>0</v>
      </c>
      <c r="F396" s="2">
        <v>0</v>
      </c>
      <c r="G396" s="2">
        <v>0</v>
      </c>
      <c r="H396" s="1" t="s">
        <v>1</v>
      </c>
      <c r="I396" s="2">
        <v>0</v>
      </c>
      <c r="J396" s="1">
        <v>45966.384687500002</v>
      </c>
    </row>
    <row r="397" spans="1:10" x14ac:dyDescent="0.2">
      <c r="A397" s="4" t="s">
        <v>0</v>
      </c>
      <c r="B397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7" s="3" t="str">
        <f>HYPERLINK("https://otsuka-europe-crm.veevavault.com/ui/#object/sent_email__v/VBL000000004469", "SE-001380861")</f>
        <v>SE-001380861</v>
      </c>
      <c r="D397" s="1" t="s">
        <v>1</v>
      </c>
      <c r="E397" s="2">
        <v>0</v>
      </c>
      <c r="F397" s="2">
        <v>0</v>
      </c>
      <c r="G397" s="2">
        <v>0</v>
      </c>
      <c r="H397" s="1" t="s">
        <v>1</v>
      </c>
      <c r="I397" s="2">
        <v>0</v>
      </c>
      <c r="J397" s="1">
        <v>45966.384895833333</v>
      </c>
    </row>
    <row r="398" spans="1:10" x14ac:dyDescent="0.2">
      <c r="A398" s="4" t="s">
        <v>0</v>
      </c>
      <c r="B398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8" s="3" t="str">
        <f>HYPERLINK("https://otsuka-europe-crm.veevavault.com/ui/#object/sent_email__v/VBL000000005924", "SE-001380863")</f>
        <v>SE-001380863</v>
      </c>
      <c r="D398" s="1">
        <v>45968.799247685187</v>
      </c>
      <c r="E398" s="2">
        <v>1</v>
      </c>
      <c r="F398" s="2">
        <v>4</v>
      </c>
      <c r="G398" s="2">
        <v>0</v>
      </c>
      <c r="H398" s="1" t="s">
        <v>1</v>
      </c>
      <c r="I398" s="2">
        <v>0</v>
      </c>
      <c r="J398" s="1">
        <v>45966.388310185182</v>
      </c>
    </row>
    <row r="399" spans="1:10" x14ac:dyDescent="0.2">
      <c r="A399" s="4" t="s">
        <v>0</v>
      </c>
      <c r="B399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399" s="3" t="str">
        <f>HYPERLINK("https://otsuka-europe-crm.veevavault.com/ui/#object/sent_email__v/VBL000000005925", "SE-001380864")</f>
        <v>SE-001380864</v>
      </c>
      <c r="D399" s="1">
        <v>45970.73170138889</v>
      </c>
      <c r="E399" s="2">
        <v>1</v>
      </c>
      <c r="F399" s="2">
        <v>19</v>
      </c>
      <c r="G399" s="2">
        <v>1</v>
      </c>
      <c r="H399" s="1">
        <v>45967.459918981483</v>
      </c>
      <c r="I399" s="2">
        <v>1</v>
      </c>
      <c r="J399" s="1">
        <v>45966.389027777775</v>
      </c>
    </row>
    <row r="400" spans="1:10" x14ac:dyDescent="0.2">
      <c r="A400" s="4" t="s">
        <v>0</v>
      </c>
      <c r="B400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0" s="3" t="str">
        <f>HYPERLINK("https://otsuka-europe-crm.veevavault.com/ui/#object/sent_email__v/VBL000000004470", "SE-001380865")</f>
        <v>SE-001380865</v>
      </c>
      <c r="D400" s="1">
        <v>45966.885370370372</v>
      </c>
      <c r="E400" s="2">
        <v>1</v>
      </c>
      <c r="F400" s="2">
        <v>1</v>
      </c>
      <c r="G400" s="2">
        <v>0</v>
      </c>
      <c r="H400" s="1" t="s">
        <v>1</v>
      </c>
      <c r="I400" s="2">
        <v>0</v>
      </c>
      <c r="J400" s="1">
        <v>45966.389421296299</v>
      </c>
    </row>
    <row r="401" spans="1:10" x14ac:dyDescent="0.2">
      <c r="A401" s="4" t="s">
        <v>0</v>
      </c>
      <c r="B401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1" s="3" t="str">
        <f>HYPERLINK("https://otsuka-europe-crm.veevavault.com/ui/#object/sent_email__v/VBL000000005926", "SE-001380866")</f>
        <v>SE-001380866</v>
      </c>
      <c r="D401" s="1">
        <v>45966.411770833336</v>
      </c>
      <c r="E401" s="2">
        <v>1</v>
      </c>
      <c r="F401" s="2">
        <v>1</v>
      </c>
      <c r="G401" s="2">
        <v>1</v>
      </c>
      <c r="H401" s="1">
        <v>45966.411770833336</v>
      </c>
      <c r="I401" s="2">
        <v>1</v>
      </c>
      <c r="J401" s="1">
        <v>45966.389791666668</v>
      </c>
    </row>
    <row r="402" spans="1:10" x14ac:dyDescent="0.2">
      <c r="A402" s="4" t="s">
        <v>0</v>
      </c>
      <c r="B402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2" s="3" t="str">
        <f>HYPERLINK("https://otsuka-europe-crm.veevavault.com/ui/#object/sent_email__v/VBL000000005927", "SE-001380867")</f>
        <v>SE-001380867</v>
      </c>
      <c r="D402" s="1" t="s">
        <v>1</v>
      </c>
      <c r="E402" s="2">
        <v>0</v>
      </c>
      <c r="F402" s="2">
        <v>0</v>
      </c>
      <c r="G402" s="2">
        <v>0</v>
      </c>
      <c r="H402" s="1" t="s">
        <v>1</v>
      </c>
      <c r="I402" s="2">
        <v>0</v>
      </c>
      <c r="J402" s="1">
        <v>45966.3903125</v>
      </c>
    </row>
    <row r="403" spans="1:10" x14ac:dyDescent="0.2">
      <c r="A403" s="4" t="s">
        <v>0</v>
      </c>
      <c r="B403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3" s="3" t="str">
        <f>HYPERLINK("https://otsuka-europe-crm.veevavault.com/ui/#object/sent_email__v/VBL000000005928", "SE-001380868")</f>
        <v>SE-001380868</v>
      </c>
      <c r="D403" s="1" t="s">
        <v>1</v>
      </c>
      <c r="E403" s="2">
        <v>0</v>
      </c>
      <c r="F403" s="2">
        <v>0</v>
      </c>
      <c r="G403" s="2">
        <v>0</v>
      </c>
      <c r="H403" s="1" t="s">
        <v>1</v>
      </c>
      <c r="I403" s="2">
        <v>0</v>
      </c>
      <c r="J403" s="1">
        <v>45966.390798611108</v>
      </c>
    </row>
    <row r="404" spans="1:10" x14ac:dyDescent="0.2">
      <c r="A404" s="4" t="s">
        <v>0</v>
      </c>
      <c r="B404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4" s="3" t="str">
        <f>HYPERLINK("https://otsuka-europe-crm.veevavault.com/ui/#object/sent_email__v/VBL000000005929", "SE-001380869")</f>
        <v>SE-001380869</v>
      </c>
      <c r="D404" s="1" t="s">
        <v>1</v>
      </c>
      <c r="E404" s="2">
        <v>0</v>
      </c>
      <c r="F404" s="2">
        <v>0</v>
      </c>
      <c r="G404" s="2">
        <v>0</v>
      </c>
      <c r="H404" s="1" t="s">
        <v>1</v>
      </c>
      <c r="I404" s="2">
        <v>0</v>
      </c>
      <c r="J404" s="1">
        <v>45966.391805555555</v>
      </c>
    </row>
    <row r="405" spans="1:10" x14ac:dyDescent="0.2">
      <c r="A405" s="4" t="s">
        <v>0</v>
      </c>
      <c r="B405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5" s="3" t="str">
        <f>HYPERLINK("https://otsuka-europe-crm.veevavault.com/ui/#object/sent_email__v/VBL000000005930", "SE-001380870")</f>
        <v>SE-001380870</v>
      </c>
      <c r="D405" s="1" t="s">
        <v>1</v>
      </c>
      <c r="E405" s="2">
        <v>0</v>
      </c>
      <c r="F405" s="2">
        <v>0</v>
      </c>
      <c r="G405" s="2">
        <v>0</v>
      </c>
      <c r="H405" s="1" t="s">
        <v>1</v>
      </c>
      <c r="I405" s="2">
        <v>0</v>
      </c>
      <c r="J405" s="1">
        <v>45966.392233796294</v>
      </c>
    </row>
    <row r="406" spans="1:10" x14ac:dyDescent="0.2">
      <c r="A406" s="4" t="s">
        <v>0</v>
      </c>
      <c r="B406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6" s="3" t="str">
        <f>HYPERLINK("https://otsuka-europe-crm.veevavault.com/ui/#object/sent_email__v/VBL000000005931", "SE-001380871")</f>
        <v>SE-001380871</v>
      </c>
      <c r="D406" s="1" t="s">
        <v>1</v>
      </c>
      <c r="E406" s="2">
        <v>0</v>
      </c>
      <c r="F406" s="2">
        <v>0</v>
      </c>
      <c r="G406" s="2">
        <v>0</v>
      </c>
      <c r="H406" s="1" t="s">
        <v>1</v>
      </c>
      <c r="I406" s="2">
        <v>0</v>
      </c>
      <c r="J406" s="1">
        <v>45966.392476851855</v>
      </c>
    </row>
    <row r="407" spans="1:10" x14ac:dyDescent="0.2">
      <c r="A407" s="4" t="s">
        <v>0</v>
      </c>
      <c r="B407" s="3" t="str">
        <f>HYPERLINK("https://otsuka-europe-crm.veevavault.com/ui/#object/approved_document__v/V5O000000004022", "VAE AT - Einladung LN Webinar Nov 2025 (Nephrologie)")</f>
        <v>VAE AT - Einladung LN Webinar Nov 2025 (Nephrologie)</v>
      </c>
      <c r="C407" s="3" t="str">
        <f>HYPERLINK("https://otsuka-europe-crm.veevavault.com/ui/#object/sent_email__v/VBL000000005932", "SE-001380872")</f>
        <v>SE-001380872</v>
      </c>
      <c r="D407" s="1" t="s">
        <v>1</v>
      </c>
      <c r="E407" s="2">
        <v>0</v>
      </c>
      <c r="F407" s="2">
        <v>0</v>
      </c>
      <c r="G407" s="2">
        <v>0</v>
      </c>
      <c r="H407" s="1" t="s">
        <v>1</v>
      </c>
      <c r="I407" s="2">
        <v>0</v>
      </c>
      <c r="J407" s="1">
        <v>45966.393055555556</v>
      </c>
    </row>
    <row r="408" spans="1:10" x14ac:dyDescent="0.2">
      <c r="A408" s="4" t="s">
        <v>0</v>
      </c>
      <c r="B408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08" s="3" t="str">
        <f>HYPERLINK("https://otsuka-europe-crm.veevavault.com/ui/#object/sent_email__v/VBL000000005884", "SE-001380812")</f>
        <v>SE-001380812</v>
      </c>
      <c r="D408" s="1" t="s">
        <v>1</v>
      </c>
      <c r="E408" s="2">
        <v>0</v>
      </c>
      <c r="F408" s="2">
        <v>0</v>
      </c>
      <c r="G408" s="2">
        <v>0</v>
      </c>
      <c r="H408" s="1" t="s">
        <v>1</v>
      </c>
      <c r="I408" s="2">
        <v>0</v>
      </c>
      <c r="J408" s="1">
        <v>45966.358506944445</v>
      </c>
    </row>
    <row r="409" spans="1:10" x14ac:dyDescent="0.2">
      <c r="A409" s="4" t="s">
        <v>0</v>
      </c>
      <c r="B409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09" s="3" t="str">
        <f>HYPERLINK("https://otsuka-europe-crm.veevavault.com/ui/#object/sent_email__v/VBL000000005889", "SE-001380817")</f>
        <v>SE-001380817</v>
      </c>
      <c r="D409" s="1" t="s">
        <v>1</v>
      </c>
      <c r="E409" s="2">
        <v>0</v>
      </c>
      <c r="F409" s="2">
        <v>0</v>
      </c>
      <c r="G409" s="2">
        <v>0</v>
      </c>
      <c r="H409" s="1" t="s">
        <v>1</v>
      </c>
      <c r="I409" s="2">
        <v>0</v>
      </c>
      <c r="J409" s="1">
        <v>45966.359780092593</v>
      </c>
    </row>
    <row r="410" spans="1:10" x14ac:dyDescent="0.2">
      <c r="A410" s="4" t="s">
        <v>0</v>
      </c>
      <c r="B410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0" s="3" t="str">
        <f>HYPERLINK("https://otsuka-europe-crm.veevavault.com/ui/#object/sent_email__v/VBL000000005891", "SE-001380819")</f>
        <v>SE-001380819</v>
      </c>
      <c r="D410" s="1">
        <v>45967.31659722222</v>
      </c>
      <c r="E410" s="2">
        <v>1</v>
      </c>
      <c r="F410" s="2">
        <v>1</v>
      </c>
      <c r="G410" s="2">
        <v>0</v>
      </c>
      <c r="H410" s="1" t="s">
        <v>1</v>
      </c>
      <c r="I410" s="2">
        <v>0</v>
      </c>
      <c r="J410" s="1">
        <v>45966.360555555555</v>
      </c>
    </row>
    <row r="411" spans="1:10" x14ac:dyDescent="0.2">
      <c r="A411" s="4" t="s">
        <v>0</v>
      </c>
      <c r="B411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1" s="3" t="str">
        <f>HYPERLINK("https://otsuka-europe-crm.veevavault.com/ui/#object/sent_email__v/VBL000000005893", "SE-001380821")</f>
        <v>SE-001380821</v>
      </c>
      <c r="D411" s="1" t="s">
        <v>1</v>
      </c>
      <c r="E411" s="2">
        <v>0</v>
      </c>
      <c r="F411" s="2">
        <v>0</v>
      </c>
      <c r="G411" s="2">
        <v>0</v>
      </c>
      <c r="H411" s="1" t="s">
        <v>1</v>
      </c>
      <c r="I411" s="2">
        <v>0</v>
      </c>
      <c r="J411" s="1">
        <v>45966.361145833333</v>
      </c>
    </row>
    <row r="412" spans="1:10" x14ac:dyDescent="0.2">
      <c r="A412" s="4" t="s">
        <v>0</v>
      </c>
      <c r="B412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2" s="3" t="str">
        <f>HYPERLINK("https://otsuka-europe-crm.veevavault.com/ui/#object/sent_email__v/VBL000000005894", "SE-001380822")</f>
        <v>SE-001380822</v>
      </c>
      <c r="D412" s="1" t="s">
        <v>1</v>
      </c>
      <c r="E412" s="2">
        <v>0</v>
      </c>
      <c r="F412" s="2">
        <v>0</v>
      </c>
      <c r="G412" s="2">
        <v>0</v>
      </c>
      <c r="H412" s="1" t="s">
        <v>1</v>
      </c>
      <c r="I412" s="2">
        <v>0</v>
      </c>
      <c r="J412" s="1">
        <v>45966.361446759256</v>
      </c>
    </row>
    <row r="413" spans="1:10" x14ac:dyDescent="0.2">
      <c r="A413" s="4" t="s">
        <v>0</v>
      </c>
      <c r="B413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3" s="3" t="str">
        <f>HYPERLINK("https://otsuka-europe-crm.veevavault.com/ui/#object/sent_email__v/VBL000000005896", "SE-001380824")</f>
        <v>SE-001380824</v>
      </c>
      <c r="D413" s="1">
        <v>45971.49013888889</v>
      </c>
      <c r="E413" s="2">
        <v>1</v>
      </c>
      <c r="F413" s="2">
        <v>4</v>
      </c>
      <c r="G413" s="2">
        <v>0</v>
      </c>
      <c r="H413" s="1" t="s">
        <v>1</v>
      </c>
      <c r="I413" s="2">
        <v>0</v>
      </c>
      <c r="J413" s="1">
        <v>45966.362523148149</v>
      </c>
    </row>
    <row r="414" spans="1:10" x14ac:dyDescent="0.2">
      <c r="A414" s="4" t="s">
        <v>0</v>
      </c>
      <c r="B414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4" s="3" t="str">
        <f>HYPERLINK("https://otsuka-europe-crm.veevavault.com/ui/#object/sent_email__v/VBL000000005897", "SE-001380825")</f>
        <v>SE-001380825</v>
      </c>
      <c r="D414" s="1" t="s">
        <v>1</v>
      </c>
      <c r="E414" s="2">
        <v>0</v>
      </c>
      <c r="F414" s="2">
        <v>0</v>
      </c>
      <c r="G414" s="2">
        <v>0</v>
      </c>
      <c r="H414" s="1" t="s">
        <v>1</v>
      </c>
      <c r="I414" s="2">
        <v>0</v>
      </c>
      <c r="J414" s="1">
        <v>45966.362743055557</v>
      </c>
    </row>
    <row r="415" spans="1:10" x14ac:dyDescent="0.2">
      <c r="A415" s="4" t="s">
        <v>0</v>
      </c>
      <c r="B415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5" s="3" t="str">
        <f>HYPERLINK("https://otsuka-europe-crm.veevavault.com/ui/#object/sent_email__v/VBL000000005898", "SE-001380826")</f>
        <v>SE-001380826</v>
      </c>
      <c r="D415" s="1" t="s">
        <v>1</v>
      </c>
      <c r="E415" s="2">
        <v>0</v>
      </c>
      <c r="F415" s="2">
        <v>0</v>
      </c>
      <c r="G415" s="2">
        <v>0</v>
      </c>
      <c r="H415" s="1" t="s">
        <v>1</v>
      </c>
      <c r="I415" s="2">
        <v>0</v>
      </c>
      <c r="J415" s="1">
        <v>45966.363275462965</v>
      </c>
    </row>
    <row r="416" spans="1:10" x14ac:dyDescent="0.2">
      <c r="A416" s="4" t="s">
        <v>0</v>
      </c>
      <c r="B416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6" s="3" t="str">
        <f>HYPERLINK("https://otsuka-europe-crm.veevavault.com/ui/#object/sent_email__v/VBL000000005899", "SE-001380827")</f>
        <v>SE-001380827</v>
      </c>
      <c r="D416" s="1" t="s">
        <v>1</v>
      </c>
      <c r="E416" s="2">
        <v>0</v>
      </c>
      <c r="F416" s="2">
        <v>0</v>
      </c>
      <c r="G416" s="2">
        <v>0</v>
      </c>
      <c r="H416" s="1" t="s">
        <v>1</v>
      </c>
      <c r="I416" s="2">
        <v>0</v>
      </c>
      <c r="J416" s="1">
        <v>45966.363599537035</v>
      </c>
    </row>
    <row r="417" spans="1:10" x14ac:dyDescent="0.2">
      <c r="A417" s="4" t="s">
        <v>0</v>
      </c>
      <c r="B417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7" s="3" t="str">
        <f>HYPERLINK("https://otsuka-europe-crm.veevavault.com/ui/#object/sent_email__v/VBL000000005901", "SE-001380829")</f>
        <v>SE-001380829</v>
      </c>
      <c r="D417" s="1">
        <v>45967.86859953704</v>
      </c>
      <c r="E417" s="2">
        <v>1</v>
      </c>
      <c r="F417" s="2">
        <v>1</v>
      </c>
      <c r="G417" s="2">
        <v>0</v>
      </c>
      <c r="H417" s="1" t="s">
        <v>1</v>
      </c>
      <c r="I417" s="2">
        <v>0</v>
      </c>
      <c r="J417" s="1">
        <v>45966.364224537036</v>
      </c>
    </row>
    <row r="418" spans="1:10" x14ac:dyDescent="0.2">
      <c r="A418" s="4" t="s">
        <v>0</v>
      </c>
      <c r="B418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8" s="3" t="str">
        <f>HYPERLINK("https://otsuka-europe-crm.veevavault.com/ui/#object/sent_email__v/VBL000000005902", "SE-001380830")</f>
        <v>SE-001380830</v>
      </c>
      <c r="D418" s="1">
        <v>45966.564201388886</v>
      </c>
      <c r="E418" s="2">
        <v>1</v>
      </c>
      <c r="F418" s="2">
        <v>3</v>
      </c>
      <c r="G418" s="2">
        <v>1</v>
      </c>
      <c r="H418" s="1">
        <v>45966.44121527778</v>
      </c>
      <c r="I418" s="2">
        <v>1</v>
      </c>
      <c r="J418" s="1">
        <v>45966.364606481482</v>
      </c>
    </row>
    <row r="419" spans="1:10" x14ac:dyDescent="0.2">
      <c r="A419" s="4" t="s">
        <v>0</v>
      </c>
      <c r="B419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19" s="3" t="str">
        <f>HYPERLINK("https://otsuka-europe-crm.veevavault.com/ui/#object/sent_email__v/VBL000000004459", "SE-001380831")</f>
        <v>SE-001380831</v>
      </c>
      <c r="D419" s="1">
        <v>45999.785671296297</v>
      </c>
      <c r="E419" s="2">
        <v>1</v>
      </c>
      <c r="F419" s="2">
        <v>3</v>
      </c>
      <c r="G419" s="2">
        <v>1</v>
      </c>
      <c r="H419" s="1">
        <v>45967.263692129629</v>
      </c>
      <c r="I419" s="2">
        <v>1</v>
      </c>
      <c r="J419" s="1">
        <v>45966.364895833336</v>
      </c>
    </row>
    <row r="420" spans="1:10" x14ac:dyDescent="0.2">
      <c r="A420" s="4" t="s">
        <v>0</v>
      </c>
      <c r="B420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0" s="3" t="str">
        <f>HYPERLINK("https://otsuka-europe-crm.veevavault.com/ui/#object/sent_email__v/VBL000000005903", "SE-001380832")</f>
        <v>SE-001380832</v>
      </c>
      <c r="D420" s="1">
        <v>45966.426481481481</v>
      </c>
      <c r="E420" s="2">
        <v>1</v>
      </c>
      <c r="F420" s="2">
        <v>1</v>
      </c>
      <c r="G420" s="2">
        <v>1</v>
      </c>
      <c r="H420" s="1">
        <v>45966.426516203705</v>
      </c>
      <c r="I420" s="2">
        <v>2</v>
      </c>
      <c r="J420" s="1">
        <v>45966.368067129632</v>
      </c>
    </row>
    <row r="421" spans="1:10" x14ac:dyDescent="0.2">
      <c r="A421" s="4" t="s">
        <v>0</v>
      </c>
      <c r="B421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1" s="3" t="str">
        <f>HYPERLINK("https://otsuka-europe-crm.veevavault.com/ui/#object/sent_email__v/VBL000000005904", "SE-001380833")</f>
        <v>SE-001380833</v>
      </c>
      <c r="D421" s="1" t="s">
        <v>1</v>
      </c>
      <c r="E421" s="2">
        <v>0</v>
      </c>
      <c r="F421" s="2">
        <v>0</v>
      </c>
      <c r="G421" s="2">
        <v>0</v>
      </c>
      <c r="H421" s="1" t="s">
        <v>1</v>
      </c>
      <c r="I421" s="2">
        <v>0</v>
      </c>
      <c r="J421" s="1">
        <v>45966.368159722224</v>
      </c>
    </row>
    <row r="422" spans="1:10" x14ac:dyDescent="0.2">
      <c r="A422" s="4" t="s">
        <v>0</v>
      </c>
      <c r="B422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2" s="3" t="str">
        <f>HYPERLINK("https://otsuka-europe-crm.veevavault.com/ui/#object/sent_email__v/VBL000000005905", "SE-001380834")</f>
        <v>SE-001380834</v>
      </c>
      <c r="D422" s="1" t="s">
        <v>1</v>
      </c>
      <c r="E422" s="2">
        <v>0</v>
      </c>
      <c r="F422" s="2">
        <v>0</v>
      </c>
      <c r="G422" s="2">
        <v>0</v>
      </c>
      <c r="H422" s="1" t="s">
        <v>1</v>
      </c>
      <c r="I422" s="2">
        <v>0</v>
      </c>
      <c r="J422" s="1">
        <v>45966.368761574071</v>
      </c>
    </row>
    <row r="423" spans="1:10" x14ac:dyDescent="0.2">
      <c r="A423" s="4" t="s">
        <v>0</v>
      </c>
      <c r="B423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3" s="3" t="str">
        <f>HYPERLINK("https://otsuka-europe-crm.veevavault.com/ui/#object/sent_email__v/VBL000000005907", "SE-001380836")</f>
        <v>SE-001380836</v>
      </c>
      <c r="D423" s="1" t="s">
        <v>1</v>
      </c>
      <c r="E423" s="2">
        <v>0</v>
      </c>
      <c r="F423" s="2">
        <v>0</v>
      </c>
      <c r="G423" s="2">
        <v>0</v>
      </c>
      <c r="H423" s="1" t="s">
        <v>1</v>
      </c>
      <c r="I423" s="2">
        <v>0</v>
      </c>
      <c r="J423" s="1">
        <v>45966.369432870371</v>
      </c>
    </row>
    <row r="424" spans="1:10" x14ac:dyDescent="0.2">
      <c r="A424" s="4" t="s">
        <v>0</v>
      </c>
      <c r="B424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4" s="3" t="str">
        <f>HYPERLINK("https://otsuka-europe-crm.veevavault.com/ui/#object/sent_email__v/VBL000000004460", "SE-001380837")</f>
        <v>SE-001380837</v>
      </c>
      <c r="D424" s="1" t="s">
        <v>1</v>
      </c>
      <c r="E424" s="2">
        <v>0</v>
      </c>
      <c r="F424" s="2">
        <v>0</v>
      </c>
      <c r="G424" s="2">
        <v>0</v>
      </c>
      <c r="H424" s="1" t="s">
        <v>1</v>
      </c>
      <c r="I424" s="2">
        <v>0</v>
      </c>
      <c r="J424" s="1">
        <v>45966.369652777779</v>
      </c>
    </row>
    <row r="425" spans="1:10" x14ac:dyDescent="0.2">
      <c r="A425" s="4" t="s">
        <v>0</v>
      </c>
      <c r="B425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5" s="3" t="str">
        <f>HYPERLINK("https://otsuka-europe-crm.veevavault.com/ui/#object/sent_email__v/VBL000000005908", "SE-001380838")</f>
        <v>SE-001380838</v>
      </c>
      <c r="D425" s="1">
        <v>45966.735092592593</v>
      </c>
      <c r="E425" s="2">
        <v>1</v>
      </c>
      <c r="F425" s="2">
        <v>1</v>
      </c>
      <c r="G425" s="2">
        <v>1</v>
      </c>
      <c r="H425" s="1">
        <v>45966.735092592593</v>
      </c>
      <c r="I425" s="2">
        <v>1</v>
      </c>
      <c r="J425" s="1">
        <v>45966.369930555556</v>
      </c>
    </row>
    <row r="426" spans="1:10" x14ac:dyDescent="0.2">
      <c r="A426" s="4" t="s">
        <v>0</v>
      </c>
      <c r="B426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6" s="3" t="str">
        <f>HYPERLINK("https://otsuka-europe-crm.veevavault.com/ui/#object/sent_email__v/VBL000000004461", "SE-001380839")</f>
        <v>SE-001380839</v>
      </c>
      <c r="D426" s="1" t="s">
        <v>1</v>
      </c>
      <c r="E426" s="2">
        <v>0</v>
      </c>
      <c r="F426" s="2">
        <v>0</v>
      </c>
      <c r="G426" s="2">
        <v>0</v>
      </c>
      <c r="H426" s="1" t="s">
        <v>1</v>
      </c>
      <c r="I426" s="2">
        <v>0</v>
      </c>
      <c r="J426" s="1">
        <v>45966.37023148148</v>
      </c>
    </row>
    <row r="427" spans="1:10" x14ac:dyDescent="0.2">
      <c r="A427" s="4" t="s">
        <v>0</v>
      </c>
      <c r="B427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7" s="3" t="str">
        <f>HYPERLINK("https://otsuka-europe-crm.veevavault.com/ui/#object/sent_email__v/VBL000000004462", "SE-001380840")</f>
        <v>SE-001380840</v>
      </c>
      <c r="D427" s="1">
        <v>45966.535879629628</v>
      </c>
      <c r="E427" s="2">
        <v>1</v>
      </c>
      <c r="F427" s="2">
        <v>1</v>
      </c>
      <c r="G427" s="2">
        <v>1</v>
      </c>
      <c r="H427" s="1">
        <v>45966.535879629628</v>
      </c>
      <c r="I427" s="2">
        <v>1</v>
      </c>
      <c r="J427" s="1">
        <v>45966.370682870373</v>
      </c>
    </row>
    <row r="428" spans="1:10" x14ac:dyDescent="0.2">
      <c r="A428" s="4" t="s">
        <v>0</v>
      </c>
      <c r="B428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8" s="3" t="str">
        <f>HYPERLINK("https://otsuka-europe-crm.veevavault.com/ui/#object/sent_email__v/VBL000000005909", "SE-001380841")</f>
        <v>SE-001380841</v>
      </c>
      <c r="D428" s="1">
        <v>45971.418842592589</v>
      </c>
      <c r="E428" s="2">
        <v>1</v>
      </c>
      <c r="F428" s="2">
        <v>1</v>
      </c>
      <c r="G428" s="2">
        <v>1</v>
      </c>
      <c r="H428" s="1">
        <v>45971.418842592589</v>
      </c>
      <c r="I428" s="2">
        <v>1</v>
      </c>
      <c r="J428" s="1">
        <v>45966.371099537035</v>
      </c>
    </row>
    <row r="429" spans="1:10" x14ac:dyDescent="0.2">
      <c r="A429" s="4" t="s">
        <v>0</v>
      </c>
      <c r="B429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29" s="3" t="str">
        <f>HYPERLINK("https://otsuka-europe-crm.veevavault.com/ui/#object/sent_email__v/VBL000000005910", "SE-001380842")</f>
        <v>SE-001380842</v>
      </c>
      <c r="D429" s="1" t="s">
        <v>1</v>
      </c>
      <c r="E429" s="2">
        <v>0</v>
      </c>
      <c r="F429" s="2">
        <v>0</v>
      </c>
      <c r="G429" s="2">
        <v>0</v>
      </c>
      <c r="H429" s="1" t="s">
        <v>1</v>
      </c>
      <c r="I429" s="2">
        <v>0</v>
      </c>
      <c r="J429" s="1">
        <v>45966.372627314813</v>
      </c>
    </row>
    <row r="430" spans="1:10" x14ac:dyDescent="0.2">
      <c r="A430" s="4" t="s">
        <v>0</v>
      </c>
      <c r="B430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0" s="3" t="str">
        <f>HYPERLINK("https://otsuka-europe-crm.veevavault.com/ui/#object/sent_email__v/VBL000000005918", "SE-001380850")</f>
        <v>SE-001380850</v>
      </c>
      <c r="D430" s="1">
        <v>45980.474293981482</v>
      </c>
      <c r="E430" s="2">
        <v>1</v>
      </c>
      <c r="F430" s="2">
        <v>3</v>
      </c>
      <c r="G430" s="2">
        <v>0</v>
      </c>
      <c r="H430" s="1" t="s">
        <v>1</v>
      </c>
      <c r="I430" s="2">
        <v>0</v>
      </c>
      <c r="J430" s="1">
        <v>45966.376562500001</v>
      </c>
    </row>
    <row r="431" spans="1:10" x14ac:dyDescent="0.2">
      <c r="A431" s="4" t="s">
        <v>0</v>
      </c>
      <c r="B431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1" s="3" t="str">
        <f>HYPERLINK("https://otsuka-europe-crm.veevavault.com/ui/#object/sent_email__v/VBL000000004464", "SE-001380853")</f>
        <v>SE-001380853</v>
      </c>
      <c r="D431" s="1">
        <v>45966.391458333332</v>
      </c>
      <c r="E431" s="2">
        <v>1</v>
      </c>
      <c r="F431" s="2">
        <v>6</v>
      </c>
      <c r="G431" s="2">
        <v>1</v>
      </c>
      <c r="H431" s="1">
        <v>45966.380231481482</v>
      </c>
      <c r="I431" s="2">
        <v>1</v>
      </c>
      <c r="J431" s="1">
        <v>45966.380185185182</v>
      </c>
    </row>
    <row r="432" spans="1:10" x14ac:dyDescent="0.2">
      <c r="A432" s="4" t="s">
        <v>0</v>
      </c>
      <c r="B432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2" s="3" t="str">
        <f>HYPERLINK("https://otsuka-europe-crm.veevavault.com/ui/#object/sent_email__v/VBL000000005921", "SE-001380855")</f>
        <v>SE-001380855</v>
      </c>
      <c r="D432" s="1" t="s">
        <v>1</v>
      </c>
      <c r="E432" s="2">
        <v>0</v>
      </c>
      <c r="F432" s="2">
        <v>0</v>
      </c>
      <c r="G432" s="2">
        <v>0</v>
      </c>
      <c r="H432" s="1" t="s">
        <v>1</v>
      </c>
      <c r="I432" s="2">
        <v>0</v>
      </c>
      <c r="J432" s="1">
        <v>45966.38140046296</v>
      </c>
    </row>
    <row r="433" spans="1:10" x14ac:dyDescent="0.2">
      <c r="A433" s="4" t="s">
        <v>0</v>
      </c>
      <c r="B433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3" s="3" t="str">
        <f>HYPERLINK("https://otsuka-europe-crm.veevavault.com/ui/#object/sent_email__v/VBL000000004465", "SE-001380856")</f>
        <v>SE-001380856</v>
      </c>
      <c r="D433" s="1" t="s">
        <v>1</v>
      </c>
      <c r="E433" s="2">
        <v>0</v>
      </c>
      <c r="F433" s="2">
        <v>0</v>
      </c>
      <c r="G433" s="2">
        <v>0</v>
      </c>
      <c r="H433" s="1" t="s">
        <v>1</v>
      </c>
      <c r="I433" s="2">
        <v>0</v>
      </c>
      <c r="J433" s="1">
        <v>45966.381412037037</v>
      </c>
    </row>
    <row r="434" spans="1:10" x14ac:dyDescent="0.2">
      <c r="A434" s="4" t="s">
        <v>0</v>
      </c>
      <c r="B434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4" s="3" t="str">
        <f>HYPERLINK("https://otsuka-europe-crm.veevavault.com/ui/#object/sent_email__v/VBL000000005922", "SE-001380859")</f>
        <v>SE-001380859</v>
      </c>
      <c r="D434" s="1" t="s">
        <v>1</v>
      </c>
      <c r="E434" s="2">
        <v>0</v>
      </c>
      <c r="F434" s="2">
        <v>0</v>
      </c>
      <c r="G434" s="2">
        <v>0</v>
      </c>
      <c r="H434" s="1" t="s">
        <v>1</v>
      </c>
      <c r="I434" s="2">
        <v>0</v>
      </c>
      <c r="J434" s="1">
        <v>45966.382511574076</v>
      </c>
    </row>
    <row r="435" spans="1:10" x14ac:dyDescent="0.2">
      <c r="A435" s="4" t="s">
        <v>0</v>
      </c>
      <c r="B435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5" s="3" t="str">
        <f>HYPERLINK("https://otsuka-europe-crm.veevavault.com/ui/#object/sent_email__v/VBL000000005923", "SE-001380862")</f>
        <v>SE-001380862</v>
      </c>
      <c r="D435" s="1">
        <v>45970.716863425929</v>
      </c>
      <c r="E435" s="2">
        <v>1</v>
      </c>
      <c r="F435" s="2">
        <v>2</v>
      </c>
      <c r="G435" s="2">
        <v>0</v>
      </c>
      <c r="H435" s="1" t="s">
        <v>1</v>
      </c>
      <c r="I435" s="2">
        <v>0</v>
      </c>
      <c r="J435" s="1">
        <v>45966.387685185182</v>
      </c>
    </row>
    <row r="436" spans="1:10" x14ac:dyDescent="0.2">
      <c r="A436" s="4" t="s">
        <v>0</v>
      </c>
      <c r="B436" s="3" t="str">
        <f>HYPERLINK("https://otsuka-europe-crm.veevavault.com/ui/#object/approved_document__v/V5O000000004025", "VAE AT - Einladung LN Webinar Nov 2025 (Rheumatologie)")</f>
        <v>VAE AT - Einladung LN Webinar Nov 2025 (Rheumatologie)</v>
      </c>
      <c r="C436" s="3" t="str">
        <f>HYPERLINK("https://otsuka-europe-crm.veevavault.com/ui/#object/sent_email__v/VBL00000000D382", "SE-001384257")</f>
        <v>SE-001384257</v>
      </c>
      <c r="D436" s="1" t="s">
        <v>1</v>
      </c>
      <c r="E436" s="2">
        <v>0</v>
      </c>
      <c r="F436" s="2">
        <v>0</v>
      </c>
      <c r="G436" s="2">
        <v>0</v>
      </c>
      <c r="H436" s="1" t="s">
        <v>1</v>
      </c>
      <c r="I436" s="2">
        <v>0</v>
      </c>
      <c r="J436" s="1">
        <v>45971.614722222221</v>
      </c>
    </row>
    <row r="437" spans="1:10" x14ac:dyDescent="0.2">
      <c r="A437" s="4" t="s">
        <v>0</v>
      </c>
      <c r="B437" s="3" t="str">
        <f>HYPERLINK("https://otsuka-europe-crm.veevavault.com/ui/#object/approved_document__v/V5O00000000H038", "VAE AT - Einladung Lupologen WS NÖ/B/W (Infektiologie)")</f>
        <v>VAE AT - Einladung Lupologen WS NÖ/B/W (Infektiologie)</v>
      </c>
      <c r="C437" s="3" t="str">
        <f>HYPERLINK("https://otsuka-europe-crm.veevavault.com/ui/#object/sent_email__v/VBL000000011257", "SE-001396985")</f>
        <v>SE-001396985</v>
      </c>
      <c r="D437" s="1" t="s">
        <v>1</v>
      </c>
      <c r="E437" s="2">
        <v>0</v>
      </c>
      <c r="F437" s="2">
        <v>0</v>
      </c>
      <c r="G437" s="2">
        <v>0</v>
      </c>
      <c r="H437" s="1" t="s">
        <v>1</v>
      </c>
      <c r="I437" s="2">
        <v>0</v>
      </c>
      <c r="J437" s="1">
        <v>46008.260324074072</v>
      </c>
    </row>
    <row r="438" spans="1:10" x14ac:dyDescent="0.2">
      <c r="A438" s="4" t="s">
        <v>0</v>
      </c>
      <c r="B438" s="3" t="str">
        <f>HYPERLINK("https://otsuka-europe-crm.veevavault.com/ui/#object/approved_document__v/V5O00000000H038", "VAE AT - Einladung Lupologen WS NÖ/B/W (Infektiologie)")</f>
        <v>VAE AT - Einladung Lupologen WS NÖ/B/W (Infektiologie)</v>
      </c>
      <c r="C438" s="3" t="str">
        <f>HYPERLINK("https://otsuka-europe-crm.veevavault.com/ui/#object/sent_email__v/VBL000000013837", "SE-001399432")</f>
        <v>SE-001399432</v>
      </c>
      <c r="D438" s="1">
        <v>46038.468969907408</v>
      </c>
      <c r="E438" s="2">
        <v>1</v>
      </c>
      <c r="F438" s="2">
        <v>2</v>
      </c>
      <c r="G438" s="2">
        <v>0</v>
      </c>
      <c r="H438" s="1" t="s">
        <v>1</v>
      </c>
      <c r="I438" s="2">
        <v>0</v>
      </c>
      <c r="J438" s="1">
        <v>46030.488726851851</v>
      </c>
    </row>
    <row r="439" spans="1:10" x14ac:dyDescent="0.2">
      <c r="A439" s="4" t="s">
        <v>0</v>
      </c>
      <c r="B43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39" s="3" t="str">
        <f>HYPERLINK("https://otsuka-europe-crm.veevavault.com/ui/#object/sent_email__v/VBL000000010132", "SE-001396984")</f>
        <v>SE-001396984</v>
      </c>
      <c r="D439" s="1" t="s">
        <v>1</v>
      </c>
      <c r="E439" s="2">
        <v>0</v>
      </c>
      <c r="F439" s="2">
        <v>0</v>
      </c>
      <c r="G439" s="2">
        <v>0</v>
      </c>
      <c r="H439" s="1" t="s">
        <v>1</v>
      </c>
      <c r="I439" s="2">
        <v>0</v>
      </c>
      <c r="J439" s="1">
        <v>46008.258738425924</v>
      </c>
    </row>
    <row r="440" spans="1:10" x14ac:dyDescent="0.2">
      <c r="A440" s="4" t="s">
        <v>0</v>
      </c>
      <c r="B44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0" s="3" t="str">
        <f>HYPERLINK("https://otsuka-europe-crm.veevavault.com/ui/#object/sent_email__v/VBL000000011258", "SE-001396986")</f>
        <v>SE-001396986</v>
      </c>
      <c r="D440" s="1" t="s">
        <v>1</v>
      </c>
      <c r="E440" s="2">
        <v>0</v>
      </c>
      <c r="F440" s="2">
        <v>0</v>
      </c>
      <c r="G440" s="2">
        <v>0</v>
      </c>
      <c r="H440" s="1" t="s">
        <v>1</v>
      </c>
      <c r="I440" s="2">
        <v>0</v>
      </c>
      <c r="J440" s="1">
        <v>46008.261435185188</v>
      </c>
    </row>
    <row r="441" spans="1:10" x14ac:dyDescent="0.2">
      <c r="A441" s="4" t="s">
        <v>0</v>
      </c>
      <c r="B44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1" s="3" t="str">
        <f>HYPERLINK("https://otsuka-europe-crm.veevavault.com/ui/#object/sent_email__v/VBL000000010133", "SE-001396987")</f>
        <v>SE-001396987</v>
      </c>
      <c r="D441" s="1">
        <v>46009.719039351854</v>
      </c>
      <c r="E441" s="2">
        <v>1</v>
      </c>
      <c r="F441" s="2">
        <v>8</v>
      </c>
      <c r="G441" s="2">
        <v>1</v>
      </c>
      <c r="H441" s="1">
        <v>46009.719131944446</v>
      </c>
      <c r="I441" s="2">
        <v>1</v>
      </c>
      <c r="J441" s="1">
        <v>46008.262465277781</v>
      </c>
    </row>
    <row r="442" spans="1:10" x14ac:dyDescent="0.2">
      <c r="A442" s="4" t="s">
        <v>0</v>
      </c>
      <c r="B44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2" s="3" t="str">
        <f>HYPERLINK("https://otsuka-europe-crm.veevavault.com/ui/#object/sent_email__v/VBL000000011259", "SE-001396988")</f>
        <v>SE-001396988</v>
      </c>
      <c r="D442" s="1" t="s">
        <v>1</v>
      </c>
      <c r="E442" s="2">
        <v>0</v>
      </c>
      <c r="F442" s="2">
        <v>0</v>
      </c>
      <c r="G442" s="2">
        <v>0</v>
      </c>
      <c r="H442" s="1" t="s">
        <v>1</v>
      </c>
      <c r="I442" s="2">
        <v>0</v>
      </c>
      <c r="J442" s="1">
        <v>46008.263182870367</v>
      </c>
    </row>
    <row r="443" spans="1:10" x14ac:dyDescent="0.2">
      <c r="A443" s="4" t="s">
        <v>0</v>
      </c>
      <c r="B44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3" s="3" t="str">
        <f>HYPERLINK("https://otsuka-europe-crm.veevavault.com/ui/#object/sent_email__v/VBL000000011260", "SE-001396989")</f>
        <v>SE-001396989</v>
      </c>
      <c r="D443" s="1" t="s">
        <v>1</v>
      </c>
      <c r="E443" s="2">
        <v>0</v>
      </c>
      <c r="F443" s="2">
        <v>0</v>
      </c>
      <c r="G443" s="2">
        <v>0</v>
      </c>
      <c r="H443" s="1" t="s">
        <v>1</v>
      </c>
      <c r="I443" s="2">
        <v>0</v>
      </c>
      <c r="J443" s="1">
        <v>46008.264120370368</v>
      </c>
    </row>
    <row r="444" spans="1:10" x14ac:dyDescent="0.2">
      <c r="A444" s="4" t="s">
        <v>0</v>
      </c>
      <c r="B44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4" s="3" t="str">
        <f>HYPERLINK("https://otsuka-europe-crm.veevavault.com/ui/#object/sent_email__v/VBL000000011261", "SE-001396990")</f>
        <v>SE-001396990</v>
      </c>
      <c r="D444" s="1" t="s">
        <v>1</v>
      </c>
      <c r="E444" s="2">
        <v>0</v>
      </c>
      <c r="F444" s="2">
        <v>0</v>
      </c>
      <c r="G444" s="2">
        <v>0</v>
      </c>
      <c r="H444" s="1" t="s">
        <v>1</v>
      </c>
      <c r="I444" s="2">
        <v>0</v>
      </c>
      <c r="J444" s="1">
        <v>46008.264861111114</v>
      </c>
    </row>
    <row r="445" spans="1:10" x14ac:dyDescent="0.2">
      <c r="A445" s="4" t="s">
        <v>0</v>
      </c>
      <c r="B445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5" s="3" t="str">
        <f>HYPERLINK("https://otsuka-europe-crm.veevavault.com/ui/#object/sent_email__v/VBL000000010134", "SE-001396991")</f>
        <v>SE-001396991</v>
      </c>
      <c r="D445" s="1" t="s">
        <v>1</v>
      </c>
      <c r="E445" s="2">
        <v>0</v>
      </c>
      <c r="F445" s="2">
        <v>0</v>
      </c>
      <c r="G445" s="2">
        <v>0</v>
      </c>
      <c r="H445" s="1" t="s">
        <v>1</v>
      </c>
      <c r="I445" s="2">
        <v>0</v>
      </c>
      <c r="J445" s="1">
        <v>46008.266944444447</v>
      </c>
    </row>
    <row r="446" spans="1:10" x14ac:dyDescent="0.2">
      <c r="A446" s="4" t="s">
        <v>0</v>
      </c>
      <c r="B446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6" s="3" t="str">
        <f>HYPERLINK("https://otsuka-europe-crm.veevavault.com/ui/#object/sent_email__v/VBL000000011262", "SE-001396992")</f>
        <v>SE-001396992</v>
      </c>
      <c r="D446" s="1" t="s">
        <v>1</v>
      </c>
      <c r="E446" s="2">
        <v>0</v>
      </c>
      <c r="F446" s="2">
        <v>0</v>
      </c>
      <c r="G446" s="2">
        <v>0</v>
      </c>
      <c r="H446" s="1" t="s">
        <v>1</v>
      </c>
      <c r="I446" s="2">
        <v>0</v>
      </c>
      <c r="J446" s="1">
        <v>46008.267974537041</v>
      </c>
    </row>
    <row r="447" spans="1:10" x14ac:dyDescent="0.2">
      <c r="A447" s="4" t="s">
        <v>0</v>
      </c>
      <c r="B447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7" s="3" t="str">
        <f>HYPERLINK("https://otsuka-europe-crm.veevavault.com/ui/#object/sent_email__v/VBL000000011263", "SE-001396993")</f>
        <v>SE-001396993</v>
      </c>
      <c r="D447" s="1" t="s">
        <v>1</v>
      </c>
      <c r="E447" s="2">
        <v>0</v>
      </c>
      <c r="F447" s="2">
        <v>0</v>
      </c>
      <c r="G447" s="2">
        <v>0</v>
      </c>
      <c r="H447" s="1" t="s">
        <v>1</v>
      </c>
      <c r="I447" s="2">
        <v>0</v>
      </c>
      <c r="J447" s="1">
        <v>46008.269108796296</v>
      </c>
    </row>
    <row r="448" spans="1:10" x14ac:dyDescent="0.2">
      <c r="A448" s="4" t="s">
        <v>0</v>
      </c>
      <c r="B448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8" s="3" t="str">
        <f>HYPERLINK("https://otsuka-europe-crm.veevavault.com/ui/#object/sent_email__v/VBL000000011264", "SE-001396994")</f>
        <v>SE-001396994</v>
      </c>
      <c r="D448" s="1" t="s">
        <v>1</v>
      </c>
      <c r="E448" s="2">
        <v>0</v>
      </c>
      <c r="F448" s="2">
        <v>0</v>
      </c>
      <c r="G448" s="2">
        <v>0</v>
      </c>
      <c r="H448" s="1" t="s">
        <v>1</v>
      </c>
      <c r="I448" s="2">
        <v>0</v>
      </c>
      <c r="J448" s="1">
        <v>46008.269942129627</v>
      </c>
    </row>
    <row r="449" spans="1:10" x14ac:dyDescent="0.2">
      <c r="A449" s="4" t="s">
        <v>0</v>
      </c>
      <c r="B44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49" s="3" t="str">
        <f>HYPERLINK("https://otsuka-europe-crm.veevavault.com/ui/#object/sent_email__v/VBL000000010135", "SE-001396995")</f>
        <v>SE-001396995</v>
      </c>
      <c r="D449" s="1" t="s">
        <v>1</v>
      </c>
      <c r="E449" s="2">
        <v>0</v>
      </c>
      <c r="F449" s="2">
        <v>0</v>
      </c>
      <c r="G449" s="2">
        <v>0</v>
      </c>
      <c r="H449" s="1" t="s">
        <v>1</v>
      </c>
      <c r="I449" s="2">
        <v>0</v>
      </c>
      <c r="J449" s="1">
        <v>46008.270833333336</v>
      </c>
    </row>
    <row r="450" spans="1:10" x14ac:dyDescent="0.2">
      <c r="A450" s="4" t="s">
        <v>0</v>
      </c>
      <c r="B45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0" s="3" t="str">
        <f>HYPERLINK("https://otsuka-europe-crm.veevavault.com/ui/#object/sent_email__v/VBL000000010136", "SE-001396996")</f>
        <v>SE-001396996</v>
      </c>
      <c r="D450" s="1">
        <v>46015.436828703707</v>
      </c>
      <c r="E450" s="2">
        <v>1</v>
      </c>
      <c r="F450" s="2">
        <v>1</v>
      </c>
      <c r="G450" s="2">
        <v>1</v>
      </c>
      <c r="H450" s="1">
        <v>46016.306250000001</v>
      </c>
      <c r="I450" s="2">
        <v>11</v>
      </c>
      <c r="J450" s="1">
        <v>46008.271678240744</v>
      </c>
    </row>
    <row r="451" spans="1:10" x14ac:dyDescent="0.2">
      <c r="A451" s="4" t="s">
        <v>0</v>
      </c>
      <c r="B45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1" s="3" t="str">
        <f>HYPERLINK("https://otsuka-europe-crm.veevavault.com/ui/#object/sent_email__v/VBL000000010137", "SE-001396997")</f>
        <v>SE-001396997</v>
      </c>
      <c r="D451" s="1" t="s">
        <v>1</v>
      </c>
      <c r="E451" s="2">
        <v>0</v>
      </c>
      <c r="F451" s="2">
        <v>0</v>
      </c>
      <c r="G451" s="2">
        <v>0</v>
      </c>
      <c r="H451" s="1" t="s">
        <v>1</v>
      </c>
      <c r="I451" s="2">
        <v>0</v>
      </c>
      <c r="J451" s="1">
        <v>46008.272372685184</v>
      </c>
    </row>
    <row r="452" spans="1:10" x14ac:dyDescent="0.2">
      <c r="A452" s="4" t="s">
        <v>0</v>
      </c>
      <c r="B45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2" s="3" t="str">
        <f>HYPERLINK("https://otsuka-europe-crm.veevavault.com/ui/#object/sent_email__v/VBL000000010138", "SE-001396998")</f>
        <v>SE-001396998</v>
      </c>
      <c r="D452" s="1">
        <v>46009.289247685185</v>
      </c>
      <c r="E452" s="2">
        <v>1</v>
      </c>
      <c r="F452" s="2">
        <v>6</v>
      </c>
      <c r="G452" s="2">
        <v>1</v>
      </c>
      <c r="H452" s="1">
        <v>46010.610034722224</v>
      </c>
      <c r="I452" s="2">
        <v>6</v>
      </c>
      <c r="J452" s="1">
        <v>46008.273090277777</v>
      </c>
    </row>
    <row r="453" spans="1:10" x14ac:dyDescent="0.2">
      <c r="A453" s="4" t="s">
        <v>0</v>
      </c>
      <c r="B45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3" s="3" t="str">
        <f>HYPERLINK("https://otsuka-europe-crm.veevavault.com/ui/#object/sent_email__v/VBL000000010139", "SE-001396999")</f>
        <v>SE-001396999</v>
      </c>
      <c r="D453" s="1">
        <v>46008.297986111109</v>
      </c>
      <c r="E453" s="2">
        <v>1</v>
      </c>
      <c r="F453" s="2">
        <v>1</v>
      </c>
      <c r="G453" s="2">
        <v>1</v>
      </c>
      <c r="H453" s="1">
        <v>46008.297986111109</v>
      </c>
      <c r="I453" s="2">
        <v>1</v>
      </c>
      <c r="J453" s="1">
        <v>46008.273993055554</v>
      </c>
    </row>
    <row r="454" spans="1:10" x14ac:dyDescent="0.2">
      <c r="A454" s="4" t="s">
        <v>0</v>
      </c>
      <c r="B45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4" s="3" t="str">
        <f>HYPERLINK("https://otsuka-europe-crm.veevavault.com/ui/#object/sent_email__v/VBL000000010140", "SE-001397000")</f>
        <v>SE-001397000</v>
      </c>
      <c r="D454" s="1" t="s">
        <v>1</v>
      </c>
      <c r="E454" s="2">
        <v>0</v>
      </c>
      <c r="F454" s="2">
        <v>0</v>
      </c>
      <c r="G454" s="2">
        <v>0</v>
      </c>
      <c r="H454" s="1" t="s">
        <v>1</v>
      </c>
      <c r="I454" s="2">
        <v>0</v>
      </c>
      <c r="J454" s="1">
        <v>46008.275520833333</v>
      </c>
    </row>
    <row r="455" spans="1:10" x14ac:dyDescent="0.2">
      <c r="A455" s="4" t="s">
        <v>0</v>
      </c>
      <c r="B455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5" s="3" t="str">
        <f>HYPERLINK("https://otsuka-europe-crm.veevavault.com/ui/#object/sent_email__v/VBL000000010142", "SE-001397002")</f>
        <v>SE-001397002</v>
      </c>
      <c r="D455" s="1" t="s">
        <v>1</v>
      </c>
      <c r="E455" s="2">
        <v>0</v>
      </c>
      <c r="F455" s="2">
        <v>0</v>
      </c>
      <c r="G455" s="2">
        <v>0</v>
      </c>
      <c r="H455" s="1" t="s">
        <v>1</v>
      </c>
      <c r="I455" s="2">
        <v>0</v>
      </c>
      <c r="J455" s="1">
        <v>46008.27851851852</v>
      </c>
    </row>
    <row r="456" spans="1:10" x14ac:dyDescent="0.2">
      <c r="A456" s="4" t="s">
        <v>0</v>
      </c>
      <c r="B456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6" s="3" t="str">
        <f>HYPERLINK("https://otsuka-europe-crm.veevavault.com/ui/#object/sent_email__v/VBL000000010143", "SE-001397003")</f>
        <v>SE-001397003</v>
      </c>
      <c r="D456" s="1" t="s">
        <v>1</v>
      </c>
      <c r="E456" s="2">
        <v>0</v>
      </c>
      <c r="F456" s="2">
        <v>0</v>
      </c>
      <c r="G456" s="2">
        <v>0</v>
      </c>
      <c r="H456" s="1" t="s">
        <v>1</v>
      </c>
      <c r="I456" s="2">
        <v>0</v>
      </c>
      <c r="J456" s="1">
        <v>46008.279328703706</v>
      </c>
    </row>
    <row r="457" spans="1:10" x14ac:dyDescent="0.2">
      <c r="A457" s="4" t="s">
        <v>0</v>
      </c>
      <c r="B457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7" s="3" t="str">
        <f>HYPERLINK("https://otsuka-europe-crm.veevavault.com/ui/#object/sent_email__v/VBL000000010144", "SE-001397004")</f>
        <v>SE-001397004</v>
      </c>
      <c r="D457" s="1">
        <v>46008.631388888891</v>
      </c>
      <c r="E457" s="2">
        <v>1</v>
      </c>
      <c r="F457" s="2">
        <v>1</v>
      </c>
      <c r="G457" s="2">
        <v>1</v>
      </c>
      <c r="H457" s="1">
        <v>46021.601458333331</v>
      </c>
      <c r="I457" s="2">
        <v>8</v>
      </c>
      <c r="J457" s="1">
        <v>46008.280150462961</v>
      </c>
    </row>
    <row r="458" spans="1:10" x14ac:dyDescent="0.2">
      <c r="A458" s="4" t="s">
        <v>0</v>
      </c>
      <c r="B458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8" s="3" t="str">
        <f>HYPERLINK("https://otsuka-europe-crm.veevavault.com/ui/#object/sent_email__v/VBL000000010145", "SE-001397005")</f>
        <v>SE-001397005</v>
      </c>
      <c r="D458" s="1" t="s">
        <v>1</v>
      </c>
      <c r="E458" s="2">
        <v>0</v>
      </c>
      <c r="F458" s="2">
        <v>0</v>
      </c>
      <c r="G458" s="2">
        <v>0</v>
      </c>
      <c r="H458" s="1" t="s">
        <v>1</v>
      </c>
      <c r="I458" s="2">
        <v>0</v>
      </c>
      <c r="J458" s="1">
        <v>46008.280960648146</v>
      </c>
    </row>
    <row r="459" spans="1:10" x14ac:dyDescent="0.2">
      <c r="A459" s="4" t="s">
        <v>0</v>
      </c>
      <c r="B45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59" s="3" t="str">
        <f>HYPERLINK("https://otsuka-europe-crm.veevavault.com/ui/#object/sent_email__v/VBL000000011267", "SE-001397010")</f>
        <v>SE-001397010</v>
      </c>
      <c r="D459" s="1" t="s">
        <v>1</v>
      </c>
      <c r="E459" s="2">
        <v>0</v>
      </c>
      <c r="F459" s="2">
        <v>0</v>
      </c>
      <c r="G459" s="2">
        <v>0</v>
      </c>
      <c r="H459" s="1" t="s">
        <v>1</v>
      </c>
      <c r="I459" s="2">
        <v>0</v>
      </c>
      <c r="J459" s="1">
        <v>46008.285439814812</v>
      </c>
    </row>
    <row r="460" spans="1:10" x14ac:dyDescent="0.2">
      <c r="A460" s="4" t="s">
        <v>0</v>
      </c>
      <c r="B46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0" s="3" t="str">
        <f>HYPERLINK("https://otsuka-europe-crm.veevavault.com/ui/#object/sent_email__v/VBL000000011270", "SE-001397013")</f>
        <v>SE-001397013</v>
      </c>
      <c r="D460" s="1" t="s">
        <v>1</v>
      </c>
      <c r="E460" s="2">
        <v>0</v>
      </c>
      <c r="F460" s="2">
        <v>0</v>
      </c>
      <c r="G460" s="2">
        <v>0</v>
      </c>
      <c r="H460" s="1" t="s">
        <v>1</v>
      </c>
      <c r="I460" s="2">
        <v>0</v>
      </c>
      <c r="J460" s="1">
        <v>46008.288043981483</v>
      </c>
    </row>
    <row r="461" spans="1:10" x14ac:dyDescent="0.2">
      <c r="A461" s="4" t="s">
        <v>0</v>
      </c>
      <c r="B46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1" s="3" t="str">
        <f>HYPERLINK("https://otsuka-europe-crm.veevavault.com/ui/#object/sent_email__v/VBL000000011275", "SE-001397023")</f>
        <v>SE-001397023</v>
      </c>
      <c r="D461" s="1" t="s">
        <v>1</v>
      </c>
      <c r="E461" s="2">
        <v>0</v>
      </c>
      <c r="F461" s="2">
        <v>0</v>
      </c>
      <c r="G461" s="2">
        <v>0</v>
      </c>
      <c r="H461" s="1" t="s">
        <v>1</v>
      </c>
      <c r="I461" s="2">
        <v>0</v>
      </c>
      <c r="J461" s="1">
        <v>46008.296307870369</v>
      </c>
    </row>
    <row r="462" spans="1:10" x14ac:dyDescent="0.2">
      <c r="A462" s="4" t="s">
        <v>0</v>
      </c>
      <c r="B46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2" s="3" t="str">
        <f>HYPERLINK("https://otsuka-europe-crm.veevavault.com/ui/#object/sent_email__v/VBL000000010153", "SE-001397024")</f>
        <v>SE-001397024</v>
      </c>
      <c r="D462" s="1" t="s">
        <v>1</v>
      </c>
      <c r="E462" s="2">
        <v>0</v>
      </c>
      <c r="F462" s="2">
        <v>0</v>
      </c>
      <c r="G462" s="2">
        <v>0</v>
      </c>
      <c r="H462" s="1" t="s">
        <v>1</v>
      </c>
      <c r="I462" s="2">
        <v>0</v>
      </c>
      <c r="J462" s="1">
        <v>46008.298229166663</v>
      </c>
    </row>
    <row r="463" spans="1:10" x14ac:dyDescent="0.2">
      <c r="A463" s="4" t="s">
        <v>0</v>
      </c>
      <c r="B46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3" s="3" t="str">
        <f>HYPERLINK("https://otsuka-europe-crm.veevavault.com/ui/#object/sent_email__v/VBL000000011276", "SE-001397025")</f>
        <v>SE-001397025</v>
      </c>
      <c r="D463" s="1">
        <v>46008.311851851853</v>
      </c>
      <c r="E463" s="2">
        <v>1</v>
      </c>
      <c r="F463" s="2">
        <v>3</v>
      </c>
      <c r="G463" s="2">
        <v>1</v>
      </c>
      <c r="H463" s="1">
        <v>46008.311793981484</v>
      </c>
      <c r="I463" s="2">
        <v>1</v>
      </c>
      <c r="J463" s="1">
        <v>46008.299386574072</v>
      </c>
    </row>
    <row r="464" spans="1:10" x14ac:dyDescent="0.2">
      <c r="A464" s="4" t="s">
        <v>0</v>
      </c>
      <c r="B46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4" s="3" t="str">
        <f>HYPERLINK("https://otsuka-europe-crm.veevavault.com/ui/#object/sent_email__v/VBL000000011277", "SE-001397026")</f>
        <v>SE-001397026</v>
      </c>
      <c r="D464" s="1">
        <v>46009.285127314812</v>
      </c>
      <c r="E464" s="2">
        <v>1</v>
      </c>
      <c r="F464" s="2">
        <v>1</v>
      </c>
      <c r="G464" s="2">
        <v>1</v>
      </c>
      <c r="H464" s="1">
        <v>46009.285300925927</v>
      </c>
      <c r="I464" s="2">
        <v>3</v>
      </c>
      <c r="J464" s="1">
        <v>46008.300034722219</v>
      </c>
    </row>
    <row r="465" spans="1:10" x14ac:dyDescent="0.2">
      <c r="A465" s="4" t="s">
        <v>0</v>
      </c>
      <c r="B465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5" s="3" t="str">
        <f>HYPERLINK("https://otsuka-europe-crm.veevavault.com/ui/#object/sent_email__v/VBL000000011278", "SE-001397027")</f>
        <v>SE-001397027</v>
      </c>
      <c r="D465" s="1" t="s">
        <v>1</v>
      </c>
      <c r="E465" s="2">
        <v>0</v>
      </c>
      <c r="F465" s="2">
        <v>0</v>
      </c>
      <c r="G465" s="2">
        <v>0</v>
      </c>
      <c r="H465" s="1" t="s">
        <v>1</v>
      </c>
      <c r="I465" s="2">
        <v>0</v>
      </c>
      <c r="J465" s="1">
        <v>46008.300740740742</v>
      </c>
    </row>
    <row r="466" spans="1:10" x14ac:dyDescent="0.2">
      <c r="A466" s="4" t="s">
        <v>0</v>
      </c>
      <c r="B466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6" s="3" t="str">
        <f>HYPERLINK("https://otsuka-europe-crm.veevavault.com/ui/#object/sent_email__v/VBL000000011280", "SE-001397029")</f>
        <v>SE-001397029</v>
      </c>
      <c r="D466" s="1">
        <v>46008.315648148149</v>
      </c>
      <c r="E466" s="2">
        <v>1</v>
      </c>
      <c r="F466" s="2">
        <v>1</v>
      </c>
      <c r="G466" s="2">
        <v>0</v>
      </c>
      <c r="H466" s="1" t="s">
        <v>1</v>
      </c>
      <c r="I466" s="2">
        <v>0</v>
      </c>
      <c r="J466" s="1">
        <v>46008.302164351851</v>
      </c>
    </row>
    <row r="467" spans="1:10" x14ac:dyDescent="0.2">
      <c r="A467" s="4" t="s">
        <v>0</v>
      </c>
      <c r="B467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7" s="3" t="str">
        <f>HYPERLINK("https://otsuka-europe-crm.veevavault.com/ui/#object/sent_email__v/VBL000000010157", "SE-001397033")</f>
        <v>SE-001397033</v>
      </c>
      <c r="D467" s="1" t="s">
        <v>1</v>
      </c>
      <c r="E467" s="2">
        <v>0</v>
      </c>
      <c r="F467" s="2">
        <v>0</v>
      </c>
      <c r="G467" s="2">
        <v>0</v>
      </c>
      <c r="H467" s="1" t="s">
        <v>1</v>
      </c>
      <c r="I467" s="2">
        <v>0</v>
      </c>
      <c r="J467" s="1">
        <v>46008.310532407406</v>
      </c>
    </row>
    <row r="468" spans="1:10" x14ac:dyDescent="0.2">
      <c r="A468" s="4" t="s">
        <v>0</v>
      </c>
      <c r="B468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8" s="3" t="str">
        <f>HYPERLINK("https://otsuka-europe-crm.veevavault.com/ui/#object/sent_email__v/VBL000000010158", "SE-001397034")</f>
        <v>SE-001397034</v>
      </c>
      <c r="D468" s="1">
        <v>46008.316631944443</v>
      </c>
      <c r="E468" s="2">
        <v>1</v>
      </c>
      <c r="F468" s="2">
        <v>1</v>
      </c>
      <c r="G468" s="2">
        <v>0</v>
      </c>
      <c r="H468" s="1" t="s">
        <v>1</v>
      </c>
      <c r="I468" s="2">
        <v>0</v>
      </c>
      <c r="J468" s="1">
        <v>46008.31145833333</v>
      </c>
    </row>
    <row r="469" spans="1:10" x14ac:dyDescent="0.2">
      <c r="A469" s="4" t="s">
        <v>0</v>
      </c>
      <c r="B46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69" s="3" t="str">
        <f>HYPERLINK("https://otsuka-europe-crm.veevavault.com/ui/#object/sent_email__v/VBL000000011281", "SE-001397035")</f>
        <v>SE-001397035</v>
      </c>
      <c r="D469" s="1" t="s">
        <v>1</v>
      </c>
      <c r="E469" s="2">
        <v>0</v>
      </c>
      <c r="F469" s="2">
        <v>0</v>
      </c>
      <c r="G469" s="2">
        <v>0</v>
      </c>
      <c r="H469" s="1" t="s">
        <v>1</v>
      </c>
      <c r="I469" s="2">
        <v>0</v>
      </c>
      <c r="J469" s="1">
        <v>46008.312326388892</v>
      </c>
    </row>
    <row r="470" spans="1:10" x14ac:dyDescent="0.2">
      <c r="A470" s="4" t="s">
        <v>0</v>
      </c>
      <c r="B47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0" s="3" t="str">
        <f>HYPERLINK("https://otsuka-europe-crm.veevavault.com/ui/#object/sent_email__v/VBL000000011284", "SE-001397038")</f>
        <v>SE-001397038</v>
      </c>
      <c r="D470" s="1" t="s">
        <v>1</v>
      </c>
      <c r="E470" s="2">
        <v>0</v>
      </c>
      <c r="F470" s="2">
        <v>0</v>
      </c>
      <c r="G470" s="2">
        <v>0</v>
      </c>
      <c r="H470" s="1" t="s">
        <v>1</v>
      </c>
      <c r="I470" s="2">
        <v>0</v>
      </c>
      <c r="J470" s="1">
        <v>46008.314606481479</v>
      </c>
    </row>
    <row r="471" spans="1:10" x14ac:dyDescent="0.2">
      <c r="A471" s="4" t="s">
        <v>0</v>
      </c>
      <c r="B47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1" s="3" t="str">
        <f>HYPERLINK("https://otsuka-europe-crm.veevavault.com/ui/#object/sent_email__v/VBL000000011285", "SE-001397039")</f>
        <v>SE-001397039</v>
      </c>
      <c r="D471" s="1" t="s">
        <v>1</v>
      </c>
      <c r="E471" s="2">
        <v>0</v>
      </c>
      <c r="F471" s="2">
        <v>0</v>
      </c>
      <c r="G471" s="2">
        <v>0</v>
      </c>
      <c r="H471" s="1" t="s">
        <v>1</v>
      </c>
      <c r="I471" s="2">
        <v>0</v>
      </c>
      <c r="J471" s="1">
        <v>46008.315243055556</v>
      </c>
    </row>
    <row r="472" spans="1:10" x14ac:dyDescent="0.2">
      <c r="A472" s="4" t="s">
        <v>0</v>
      </c>
      <c r="B47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2" s="3" t="str">
        <f>HYPERLINK("https://otsuka-europe-crm.veevavault.com/ui/#object/sent_email__v/VBL000000011287", "SE-001397041")</f>
        <v>SE-001397041</v>
      </c>
      <c r="D472" s="1" t="s">
        <v>1</v>
      </c>
      <c r="E472" s="2">
        <v>0</v>
      </c>
      <c r="F472" s="2">
        <v>0</v>
      </c>
      <c r="G472" s="2">
        <v>0</v>
      </c>
      <c r="H472" s="1" t="s">
        <v>1</v>
      </c>
      <c r="I472" s="2">
        <v>0</v>
      </c>
      <c r="J472" s="1">
        <v>46008.316932870373</v>
      </c>
    </row>
    <row r="473" spans="1:10" x14ac:dyDescent="0.2">
      <c r="A473" s="4" t="s">
        <v>0</v>
      </c>
      <c r="B47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3" s="3" t="str">
        <f>HYPERLINK("https://otsuka-europe-crm.veevavault.com/ui/#object/sent_email__v/VBL000000010159", "SE-001397042")</f>
        <v>SE-001397042</v>
      </c>
      <c r="D473" s="1" t="s">
        <v>1</v>
      </c>
      <c r="E473" s="2">
        <v>0</v>
      </c>
      <c r="F473" s="2">
        <v>0</v>
      </c>
      <c r="G473" s="2">
        <v>0</v>
      </c>
      <c r="H473" s="1" t="s">
        <v>1</v>
      </c>
      <c r="I473" s="2">
        <v>0</v>
      </c>
      <c r="J473" s="1">
        <v>46008.318865740737</v>
      </c>
    </row>
    <row r="474" spans="1:10" x14ac:dyDescent="0.2">
      <c r="A474" s="4" t="s">
        <v>0</v>
      </c>
      <c r="B47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4" s="3" t="str">
        <f>HYPERLINK("https://otsuka-europe-crm.veevavault.com/ui/#object/sent_email__v/VBL000000012767", "SE-001399431")</f>
        <v>SE-001399431</v>
      </c>
      <c r="D474" s="1">
        <v>46035.50613425926</v>
      </c>
      <c r="E474" s="2">
        <v>1</v>
      </c>
      <c r="F474" s="2">
        <v>1</v>
      </c>
      <c r="G474" s="2">
        <v>1</v>
      </c>
      <c r="H474" s="1">
        <v>46035.50613425926</v>
      </c>
      <c r="I474" s="2">
        <v>1</v>
      </c>
      <c r="J474" s="1">
        <v>46030.488645833335</v>
      </c>
    </row>
    <row r="475" spans="1:10" x14ac:dyDescent="0.2">
      <c r="A475" s="4" t="s">
        <v>0</v>
      </c>
      <c r="B475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5" s="3" t="str">
        <f>HYPERLINK("https://otsuka-europe-crm.veevavault.com/ui/#object/sent_email__v/VBL000000013840", "SE-001399433")</f>
        <v>SE-001399433</v>
      </c>
      <c r="D475" s="1" t="s">
        <v>1</v>
      </c>
      <c r="E475" s="2">
        <v>0</v>
      </c>
      <c r="F475" s="2">
        <v>0</v>
      </c>
      <c r="G475" s="2">
        <v>0</v>
      </c>
      <c r="H475" s="1" t="s">
        <v>1</v>
      </c>
      <c r="I475" s="2">
        <v>0</v>
      </c>
      <c r="J475" s="1">
        <v>46030.502465277779</v>
      </c>
    </row>
    <row r="476" spans="1:10" x14ac:dyDescent="0.2">
      <c r="A476" s="4" t="s">
        <v>0</v>
      </c>
      <c r="B476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6" s="3" t="str">
        <f>HYPERLINK("https://otsuka-europe-crm.veevavault.com/ui/#object/sent_email__v/VBL000000013841", "SE-001399434")</f>
        <v>SE-001399434</v>
      </c>
      <c r="D476" s="1" t="s">
        <v>1</v>
      </c>
      <c r="E476" s="2">
        <v>0</v>
      </c>
      <c r="F476" s="2">
        <v>0</v>
      </c>
      <c r="G476" s="2">
        <v>0</v>
      </c>
      <c r="H476" s="1" t="s">
        <v>1</v>
      </c>
      <c r="I476" s="2">
        <v>0</v>
      </c>
      <c r="J476" s="1">
        <v>46030.502546296295</v>
      </c>
    </row>
    <row r="477" spans="1:10" x14ac:dyDescent="0.2">
      <c r="A477" s="4" t="s">
        <v>0</v>
      </c>
      <c r="B477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7" s="3" t="str">
        <f>HYPERLINK("https://otsuka-europe-crm.veevavault.com/ui/#object/sent_email__v/VBL000000013842", "SE-001399435")</f>
        <v>SE-001399435</v>
      </c>
      <c r="D477" s="1" t="s">
        <v>1</v>
      </c>
      <c r="E477" s="2">
        <v>0</v>
      </c>
      <c r="F477" s="2">
        <v>0</v>
      </c>
      <c r="G477" s="2">
        <v>0</v>
      </c>
      <c r="H477" s="1" t="s">
        <v>1</v>
      </c>
      <c r="I477" s="2">
        <v>0</v>
      </c>
      <c r="J477" s="1">
        <v>46030.502615740741</v>
      </c>
    </row>
    <row r="478" spans="1:10" x14ac:dyDescent="0.2">
      <c r="A478" s="4" t="s">
        <v>0</v>
      </c>
      <c r="B478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8" s="3" t="str">
        <f>HYPERLINK("https://otsuka-europe-crm.veevavault.com/ui/#object/sent_email__v/VBL000000013843", "SE-001399436")</f>
        <v>SE-001399436</v>
      </c>
      <c r="D478" s="1" t="s">
        <v>1</v>
      </c>
      <c r="E478" s="2">
        <v>0</v>
      </c>
      <c r="F478" s="2">
        <v>0</v>
      </c>
      <c r="G478" s="2">
        <v>0</v>
      </c>
      <c r="H478" s="1" t="s">
        <v>1</v>
      </c>
      <c r="I478" s="2">
        <v>0</v>
      </c>
      <c r="J478" s="1">
        <v>46030.502685185187</v>
      </c>
    </row>
    <row r="479" spans="1:10" x14ac:dyDescent="0.2">
      <c r="A479" s="4" t="s">
        <v>0</v>
      </c>
      <c r="B47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79" s="3" t="str">
        <f>HYPERLINK("https://otsuka-europe-crm.veevavault.com/ui/#object/sent_email__v/VBL000000013844", "SE-001399437")</f>
        <v>SE-001399437</v>
      </c>
      <c r="D479" s="1" t="s">
        <v>1</v>
      </c>
      <c r="E479" s="2">
        <v>0</v>
      </c>
      <c r="F479" s="2">
        <v>0</v>
      </c>
      <c r="G479" s="2">
        <v>0</v>
      </c>
      <c r="H479" s="1" t="s">
        <v>1</v>
      </c>
      <c r="I479" s="2">
        <v>0</v>
      </c>
      <c r="J479" s="1">
        <v>46030.502824074072</v>
      </c>
    </row>
    <row r="480" spans="1:10" x14ac:dyDescent="0.2">
      <c r="A480" s="4" t="s">
        <v>0</v>
      </c>
      <c r="B48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0" s="3" t="str">
        <f>HYPERLINK("https://otsuka-europe-crm.veevavault.com/ui/#object/sent_email__v/VBL000000013845", "SE-001399438")</f>
        <v>SE-001399438</v>
      </c>
      <c r="D480" s="1" t="s">
        <v>1</v>
      </c>
      <c r="E480" s="2">
        <v>0</v>
      </c>
      <c r="F480" s="2">
        <v>0</v>
      </c>
      <c r="G480" s="2">
        <v>0</v>
      </c>
      <c r="H480" s="1" t="s">
        <v>1</v>
      </c>
      <c r="I480" s="2">
        <v>0</v>
      </c>
      <c r="J480" s="1">
        <v>46030.502870370372</v>
      </c>
    </row>
    <row r="481" spans="1:10" x14ac:dyDescent="0.2">
      <c r="A481" s="4" t="s">
        <v>0</v>
      </c>
      <c r="B48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1" s="3" t="str">
        <f>HYPERLINK("https://otsuka-europe-crm.veevavault.com/ui/#object/sent_email__v/VBL000000013846", "SE-001399439")</f>
        <v>SE-001399439</v>
      </c>
      <c r="D481" s="1" t="s">
        <v>1</v>
      </c>
      <c r="E481" s="2">
        <v>0</v>
      </c>
      <c r="F481" s="2">
        <v>0</v>
      </c>
      <c r="G481" s="2">
        <v>0</v>
      </c>
      <c r="H481" s="1" t="s">
        <v>1</v>
      </c>
      <c r="I481" s="2">
        <v>0</v>
      </c>
      <c r="J481" s="1">
        <v>46030.502939814818</v>
      </c>
    </row>
    <row r="482" spans="1:10" x14ac:dyDescent="0.2">
      <c r="A482" s="4" t="s">
        <v>0</v>
      </c>
      <c r="B48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2" s="3" t="str">
        <f>HYPERLINK("https://otsuka-europe-crm.veevavault.com/ui/#object/sent_email__v/VBL000000013847", "SE-001399440")</f>
        <v>SE-001399440</v>
      </c>
      <c r="D482" s="1" t="s">
        <v>1</v>
      </c>
      <c r="E482" s="2">
        <v>0</v>
      </c>
      <c r="F482" s="2">
        <v>0</v>
      </c>
      <c r="G482" s="2">
        <v>0</v>
      </c>
      <c r="H482" s="1" t="s">
        <v>1</v>
      </c>
      <c r="I482" s="2">
        <v>0</v>
      </c>
      <c r="J482" s="1">
        <v>46030.503078703703</v>
      </c>
    </row>
    <row r="483" spans="1:10" x14ac:dyDescent="0.2">
      <c r="A483" s="4" t="s">
        <v>0</v>
      </c>
      <c r="B48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3" s="3" t="str">
        <f>HYPERLINK("https://otsuka-europe-crm.veevavault.com/ui/#object/sent_email__v/VBL000000013848", "SE-001399441")</f>
        <v>SE-001399441</v>
      </c>
      <c r="D483" s="1">
        <v>46031.369652777779</v>
      </c>
      <c r="E483" s="2">
        <v>1</v>
      </c>
      <c r="F483" s="2">
        <v>1</v>
      </c>
      <c r="G483" s="2">
        <v>1</v>
      </c>
      <c r="H483" s="1">
        <v>46036.489976851852</v>
      </c>
      <c r="I483" s="2">
        <v>2</v>
      </c>
      <c r="J483" s="1">
        <v>46030.503101851849</v>
      </c>
    </row>
    <row r="484" spans="1:10" x14ac:dyDescent="0.2">
      <c r="A484" s="4" t="s">
        <v>0</v>
      </c>
      <c r="B48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4" s="3" t="str">
        <f>HYPERLINK("https://otsuka-europe-crm.veevavault.com/ui/#object/sent_email__v/VBL000000013849", "SE-001399442")</f>
        <v>SE-001399442</v>
      </c>
      <c r="D484" s="1" t="s">
        <v>1</v>
      </c>
      <c r="E484" s="2">
        <v>0</v>
      </c>
      <c r="F484" s="2">
        <v>0</v>
      </c>
      <c r="G484" s="2">
        <v>0</v>
      </c>
      <c r="H484" s="1" t="s">
        <v>1</v>
      </c>
      <c r="I484" s="2">
        <v>0</v>
      </c>
      <c r="J484" s="1">
        <v>46030.503194444442</v>
      </c>
    </row>
    <row r="485" spans="1:10" x14ac:dyDescent="0.2">
      <c r="A485" s="4" t="s">
        <v>0</v>
      </c>
      <c r="B485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5" s="3" t="str">
        <f>HYPERLINK("https://otsuka-europe-crm.veevavault.com/ui/#object/sent_email__v/VBL000000013850", "SE-001399443")</f>
        <v>SE-001399443</v>
      </c>
      <c r="D485" s="1" t="s">
        <v>1</v>
      </c>
      <c r="E485" s="2">
        <v>0</v>
      </c>
      <c r="F485" s="2">
        <v>0</v>
      </c>
      <c r="G485" s="2">
        <v>0</v>
      </c>
      <c r="H485" s="1" t="s">
        <v>1</v>
      </c>
      <c r="I485" s="2">
        <v>0</v>
      </c>
      <c r="J485" s="1">
        <v>46030.503275462965</v>
      </c>
    </row>
    <row r="486" spans="1:10" x14ac:dyDescent="0.2">
      <c r="A486" s="4" t="s">
        <v>0</v>
      </c>
      <c r="B486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6" s="3" t="str">
        <f>HYPERLINK("https://otsuka-europe-crm.veevavault.com/ui/#object/sent_email__v/VBL000000013851", "SE-001399444")</f>
        <v>SE-001399444</v>
      </c>
      <c r="D486" s="1" t="s">
        <v>1</v>
      </c>
      <c r="E486" s="2">
        <v>0</v>
      </c>
      <c r="F486" s="2">
        <v>0</v>
      </c>
      <c r="G486" s="2">
        <v>0</v>
      </c>
      <c r="H486" s="1" t="s">
        <v>1</v>
      </c>
      <c r="I486" s="2">
        <v>0</v>
      </c>
      <c r="J486" s="1">
        <v>46030.503344907411</v>
      </c>
    </row>
    <row r="487" spans="1:10" x14ac:dyDescent="0.2">
      <c r="A487" s="4" t="s">
        <v>0</v>
      </c>
      <c r="B487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7" s="3" t="str">
        <f>HYPERLINK("https://otsuka-europe-crm.veevavault.com/ui/#object/sent_email__v/VBL000000013853", "SE-001399446")</f>
        <v>SE-001399446</v>
      </c>
      <c r="D487" s="1" t="s">
        <v>1</v>
      </c>
      <c r="E487" s="2">
        <v>0</v>
      </c>
      <c r="F487" s="2">
        <v>0</v>
      </c>
      <c r="G487" s="2">
        <v>0</v>
      </c>
      <c r="H487" s="1" t="s">
        <v>1</v>
      </c>
      <c r="I487" s="2">
        <v>0</v>
      </c>
      <c r="J487" s="1">
        <v>46030.503518518519</v>
      </c>
    </row>
    <row r="488" spans="1:10" x14ac:dyDescent="0.2">
      <c r="A488" s="4" t="s">
        <v>0</v>
      </c>
      <c r="B488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8" s="3" t="str">
        <f>HYPERLINK("https://otsuka-europe-crm.veevavault.com/ui/#object/sent_email__v/VBL000000013854", "SE-001399447")</f>
        <v>SE-001399447</v>
      </c>
      <c r="D488" s="1" t="s">
        <v>1</v>
      </c>
      <c r="E488" s="2">
        <v>0</v>
      </c>
      <c r="F488" s="2">
        <v>0</v>
      </c>
      <c r="G488" s="2">
        <v>0</v>
      </c>
      <c r="H488" s="1" t="s">
        <v>1</v>
      </c>
      <c r="I488" s="2">
        <v>0</v>
      </c>
      <c r="J488" s="1">
        <v>46030.503587962965</v>
      </c>
    </row>
    <row r="489" spans="1:10" x14ac:dyDescent="0.2">
      <c r="A489" s="4" t="s">
        <v>0</v>
      </c>
      <c r="B48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89" s="3" t="str">
        <f>HYPERLINK("https://otsuka-europe-crm.veevavault.com/ui/#object/sent_email__v/VBL000000013855", "SE-001399448")</f>
        <v>SE-001399448</v>
      </c>
      <c r="D489" s="1" t="s">
        <v>1</v>
      </c>
      <c r="E489" s="2">
        <v>0</v>
      </c>
      <c r="F489" s="2">
        <v>0</v>
      </c>
      <c r="G489" s="2">
        <v>0</v>
      </c>
      <c r="H489" s="1" t="s">
        <v>1</v>
      </c>
      <c r="I489" s="2">
        <v>0</v>
      </c>
      <c r="J489" s="1">
        <v>46030.503668981481</v>
      </c>
    </row>
    <row r="490" spans="1:10" x14ac:dyDescent="0.2">
      <c r="A490" s="4" t="s">
        <v>0</v>
      </c>
      <c r="B49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0" s="3" t="str">
        <f>HYPERLINK("https://otsuka-europe-crm.veevavault.com/ui/#object/sent_email__v/VBL000000013856", "SE-001399449")</f>
        <v>SE-001399449</v>
      </c>
      <c r="D490" s="1" t="s">
        <v>1</v>
      </c>
      <c r="E490" s="2">
        <v>0</v>
      </c>
      <c r="F490" s="2">
        <v>0</v>
      </c>
      <c r="G490" s="2">
        <v>0</v>
      </c>
      <c r="H490" s="1" t="s">
        <v>1</v>
      </c>
      <c r="I490" s="2">
        <v>0</v>
      </c>
      <c r="J490" s="1">
        <v>46030.503750000003</v>
      </c>
    </row>
    <row r="491" spans="1:10" x14ac:dyDescent="0.2">
      <c r="A491" s="4" t="s">
        <v>0</v>
      </c>
      <c r="B49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1" s="3" t="str">
        <f>HYPERLINK("https://otsuka-europe-crm.veevavault.com/ui/#object/sent_email__v/VBL000000013860", "SE-001399453")</f>
        <v>SE-001399453</v>
      </c>
      <c r="D491" s="1">
        <v>46034.314236111109</v>
      </c>
      <c r="E491" s="2">
        <v>1</v>
      </c>
      <c r="F491" s="2">
        <v>3</v>
      </c>
      <c r="G491" s="2">
        <v>1</v>
      </c>
      <c r="H491" s="1">
        <v>46030.576365740744</v>
      </c>
      <c r="I491" s="2">
        <v>1</v>
      </c>
      <c r="J491" s="1">
        <v>46030.50408564815</v>
      </c>
    </row>
    <row r="492" spans="1:10" x14ac:dyDescent="0.2">
      <c r="A492" s="4" t="s">
        <v>0</v>
      </c>
      <c r="B49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2" s="3" t="str">
        <f>HYPERLINK("https://otsuka-europe-crm.veevavault.com/ui/#object/sent_email__v/VBL000000013862", "SE-001399455")</f>
        <v>SE-001399455</v>
      </c>
      <c r="D492" s="1">
        <v>46030.51767361111</v>
      </c>
      <c r="E492" s="2">
        <v>1</v>
      </c>
      <c r="F492" s="2">
        <v>3</v>
      </c>
      <c r="G492" s="2">
        <v>0</v>
      </c>
      <c r="H492" s="1" t="s">
        <v>1</v>
      </c>
      <c r="I492" s="2">
        <v>0</v>
      </c>
      <c r="J492" s="1">
        <v>46030.512361111112</v>
      </c>
    </row>
    <row r="493" spans="1:10" x14ac:dyDescent="0.2">
      <c r="A493" s="4" t="s">
        <v>0</v>
      </c>
      <c r="B49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3" s="3" t="str">
        <f>HYPERLINK("https://otsuka-europe-crm.veevavault.com/ui/#object/sent_email__v/VBL000000013870", "SE-001399463")</f>
        <v>SE-001399463</v>
      </c>
      <c r="D493" s="1" t="s">
        <v>1</v>
      </c>
      <c r="E493" s="2">
        <v>0</v>
      </c>
      <c r="F493" s="2">
        <v>0</v>
      </c>
      <c r="G493" s="2">
        <v>0</v>
      </c>
      <c r="H493" s="1" t="s">
        <v>1</v>
      </c>
      <c r="I493" s="2">
        <v>0</v>
      </c>
      <c r="J493" s="1">
        <v>46030.513078703705</v>
      </c>
    </row>
    <row r="494" spans="1:10" x14ac:dyDescent="0.2">
      <c r="A494" s="4" t="s">
        <v>0</v>
      </c>
      <c r="B49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4" s="3" t="str">
        <f>HYPERLINK("https://otsuka-europe-crm.veevavault.com/ui/#object/sent_email__v/VBL000000013871", "SE-001399464")</f>
        <v>SE-001399464</v>
      </c>
      <c r="D494" s="1" t="s">
        <v>1</v>
      </c>
      <c r="E494" s="2">
        <v>0</v>
      </c>
      <c r="F494" s="2">
        <v>0</v>
      </c>
      <c r="G494" s="2">
        <v>0</v>
      </c>
      <c r="H494" s="1" t="s">
        <v>1</v>
      </c>
      <c r="I494" s="2">
        <v>0</v>
      </c>
      <c r="J494" s="1">
        <v>46030.513240740744</v>
      </c>
    </row>
    <row r="495" spans="1:10" x14ac:dyDescent="0.2">
      <c r="A495" s="4" t="s">
        <v>0</v>
      </c>
      <c r="B495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5" s="3" t="str">
        <f>HYPERLINK("https://otsuka-europe-crm.veevavault.com/ui/#object/sent_email__v/VBL000000013872", "SE-001399465")</f>
        <v>SE-001399465</v>
      </c>
      <c r="D495" s="1" t="s">
        <v>1</v>
      </c>
      <c r="E495" s="2">
        <v>0</v>
      </c>
      <c r="F495" s="2">
        <v>0</v>
      </c>
      <c r="G495" s="2">
        <v>0</v>
      </c>
      <c r="H495" s="1" t="s">
        <v>1</v>
      </c>
      <c r="I495" s="2">
        <v>0</v>
      </c>
      <c r="J495" s="1">
        <v>46030.513611111113</v>
      </c>
    </row>
    <row r="496" spans="1:10" x14ac:dyDescent="0.2">
      <c r="A496" s="4" t="s">
        <v>0</v>
      </c>
      <c r="B496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6" s="3" t="str">
        <f>HYPERLINK("https://otsuka-europe-crm.veevavault.com/ui/#object/sent_email__v/VBL000000013873", "SE-001399466")</f>
        <v>SE-001399466</v>
      </c>
      <c r="D496" s="1" t="s">
        <v>1</v>
      </c>
      <c r="E496" s="2">
        <v>0</v>
      </c>
      <c r="F496" s="2">
        <v>0</v>
      </c>
      <c r="G496" s="2">
        <v>0</v>
      </c>
      <c r="H496" s="1" t="s">
        <v>1</v>
      </c>
      <c r="I496" s="2">
        <v>0</v>
      </c>
      <c r="J496" s="1">
        <v>46030.513761574075</v>
      </c>
    </row>
    <row r="497" spans="1:10" x14ac:dyDescent="0.2">
      <c r="A497" s="4" t="s">
        <v>0</v>
      </c>
      <c r="B497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7" s="3" t="str">
        <f>HYPERLINK("https://otsuka-europe-crm.veevavault.com/ui/#object/sent_email__v/VBL000000013875", "SE-001399468")</f>
        <v>SE-001399468</v>
      </c>
      <c r="D497" s="1" t="s">
        <v>1</v>
      </c>
      <c r="E497" s="2">
        <v>0</v>
      </c>
      <c r="F497" s="2">
        <v>0</v>
      </c>
      <c r="G497" s="2">
        <v>0</v>
      </c>
      <c r="H497" s="1" t="s">
        <v>1</v>
      </c>
      <c r="I497" s="2">
        <v>0</v>
      </c>
      <c r="J497" s="1">
        <v>46030.513969907406</v>
      </c>
    </row>
    <row r="498" spans="1:10" x14ac:dyDescent="0.2">
      <c r="A498" s="4" t="s">
        <v>0</v>
      </c>
      <c r="B498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8" s="3" t="str">
        <f>HYPERLINK("https://otsuka-europe-crm.veevavault.com/ui/#object/sent_email__v/VBL000000013878", "SE-001399471")</f>
        <v>SE-001399471</v>
      </c>
      <c r="D498" s="1">
        <v>46030.563043981485</v>
      </c>
      <c r="E498" s="2">
        <v>1</v>
      </c>
      <c r="F498" s="2">
        <v>3</v>
      </c>
      <c r="G498" s="2">
        <v>0</v>
      </c>
      <c r="H498" s="1" t="s">
        <v>1</v>
      </c>
      <c r="I498" s="2">
        <v>0</v>
      </c>
      <c r="J498" s="1">
        <v>46030.514224537037</v>
      </c>
    </row>
    <row r="499" spans="1:10" x14ac:dyDescent="0.2">
      <c r="A499" s="4" t="s">
        <v>0</v>
      </c>
      <c r="B499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499" s="3" t="str">
        <f>HYPERLINK("https://otsuka-europe-crm.veevavault.com/ui/#object/sent_email__v/VBL000000013879", "SE-001399472")</f>
        <v>SE-001399472</v>
      </c>
      <c r="D499" s="1" t="s">
        <v>1</v>
      </c>
      <c r="E499" s="2">
        <v>0</v>
      </c>
      <c r="F499" s="2">
        <v>0</v>
      </c>
      <c r="G499" s="2">
        <v>0</v>
      </c>
      <c r="H499" s="1" t="s">
        <v>1</v>
      </c>
      <c r="I499" s="2">
        <v>0</v>
      </c>
      <c r="J499" s="1">
        <v>46030.514317129629</v>
      </c>
    </row>
    <row r="500" spans="1:10" x14ac:dyDescent="0.2">
      <c r="A500" s="4" t="s">
        <v>0</v>
      </c>
      <c r="B500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500" s="3" t="str">
        <f>HYPERLINK("https://otsuka-europe-crm.veevavault.com/ui/#object/sent_email__v/VBL000000013880", "SE-001399473")</f>
        <v>SE-001399473</v>
      </c>
      <c r="D500" s="1" t="s">
        <v>1</v>
      </c>
      <c r="E500" s="2">
        <v>0</v>
      </c>
      <c r="F500" s="2">
        <v>0</v>
      </c>
      <c r="G500" s="2">
        <v>0</v>
      </c>
      <c r="H500" s="1" t="s">
        <v>1</v>
      </c>
      <c r="I500" s="2">
        <v>0</v>
      </c>
      <c r="J500" s="1">
        <v>46030.514386574076</v>
      </c>
    </row>
    <row r="501" spans="1:10" x14ac:dyDescent="0.2">
      <c r="A501" s="4" t="s">
        <v>0</v>
      </c>
      <c r="B501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501" s="3" t="str">
        <f>HYPERLINK("https://otsuka-europe-crm.veevavault.com/ui/#object/sent_email__v/VBL000000013882", "SE-001399475")</f>
        <v>SE-001399475</v>
      </c>
      <c r="D501" s="1" t="s">
        <v>1</v>
      </c>
      <c r="E501" s="2">
        <v>0</v>
      </c>
      <c r="F501" s="2">
        <v>0</v>
      </c>
      <c r="G501" s="2">
        <v>0</v>
      </c>
      <c r="H501" s="1" t="s">
        <v>1</v>
      </c>
      <c r="I501" s="2">
        <v>0</v>
      </c>
      <c r="J501" s="1">
        <v>46030.514548611114</v>
      </c>
    </row>
    <row r="502" spans="1:10" x14ac:dyDescent="0.2">
      <c r="A502" s="4" t="s">
        <v>0</v>
      </c>
      <c r="B502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502" s="3" t="str">
        <f>HYPERLINK("https://otsuka-europe-crm.veevavault.com/ui/#object/sent_email__v/VBL000000013883", "SE-001399476")</f>
        <v>SE-001399476</v>
      </c>
      <c r="D502" s="1" t="s">
        <v>1</v>
      </c>
      <c r="E502" s="2">
        <v>0</v>
      </c>
      <c r="F502" s="2">
        <v>0</v>
      </c>
      <c r="G502" s="2">
        <v>0</v>
      </c>
      <c r="H502" s="1" t="s">
        <v>1</v>
      </c>
      <c r="I502" s="2">
        <v>0</v>
      </c>
      <c r="J502" s="1">
        <v>46030.514618055553</v>
      </c>
    </row>
    <row r="503" spans="1:10" x14ac:dyDescent="0.2">
      <c r="A503" s="4" t="s">
        <v>0</v>
      </c>
      <c r="B503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503" s="3" t="str">
        <f>HYPERLINK("https://otsuka-europe-crm.veevavault.com/ui/#object/sent_email__v/VBL000000013885", "SE-001399478")</f>
        <v>SE-001399478</v>
      </c>
      <c r="D503" s="1" t="s">
        <v>1</v>
      </c>
      <c r="E503" s="2">
        <v>0</v>
      </c>
      <c r="F503" s="2">
        <v>0</v>
      </c>
      <c r="G503" s="2">
        <v>0</v>
      </c>
      <c r="H503" s="1" t="s">
        <v>1</v>
      </c>
      <c r="I503" s="2">
        <v>0</v>
      </c>
      <c r="J503" s="1">
        <v>46030.514814814815</v>
      </c>
    </row>
    <row r="504" spans="1:10" x14ac:dyDescent="0.2">
      <c r="A504" s="4" t="s">
        <v>0</v>
      </c>
      <c r="B504" s="3" t="str">
        <f>HYPERLINK("https://otsuka-europe-crm.veevavault.com/ui/#object/approved_document__v/V5O00000000H039", "VAE AT - Einladung Lupologen WS NÖ/B/W (Nephrologie)")</f>
        <v>VAE AT - Einladung Lupologen WS NÖ/B/W (Nephrologie)</v>
      </c>
      <c r="C504" s="3" t="str">
        <f>HYPERLINK("https://otsuka-europe-crm.veevavault.com/ui/#object/sent_email__v/VBL000000013886", "SE-001399479")</f>
        <v>SE-001399479</v>
      </c>
      <c r="D504" s="1" t="s">
        <v>1</v>
      </c>
      <c r="E504" s="2">
        <v>0</v>
      </c>
      <c r="F504" s="2">
        <v>0</v>
      </c>
      <c r="G504" s="2">
        <v>0</v>
      </c>
      <c r="H504" s="1" t="s">
        <v>1</v>
      </c>
      <c r="I504" s="2">
        <v>0</v>
      </c>
      <c r="J504" s="1">
        <v>46030.514907407407</v>
      </c>
    </row>
    <row r="505" spans="1:10" x14ac:dyDescent="0.2">
      <c r="A505" s="4" t="s">
        <v>0</v>
      </c>
      <c r="B505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05" s="3" t="str">
        <f>HYPERLINK("https://otsuka-europe-crm.veevavault.com/ui/#object/sent_email__v/VBL000000010141", "SE-001397001")</f>
        <v>SE-001397001</v>
      </c>
      <c r="D505" s="1" t="s">
        <v>1</v>
      </c>
      <c r="E505" s="2">
        <v>0</v>
      </c>
      <c r="F505" s="2">
        <v>0</v>
      </c>
      <c r="G505" s="2">
        <v>0</v>
      </c>
      <c r="H505" s="1" t="s">
        <v>1</v>
      </c>
      <c r="I505" s="2">
        <v>0</v>
      </c>
      <c r="J505" s="1">
        <v>46008.276921296296</v>
      </c>
    </row>
    <row r="506" spans="1:10" x14ac:dyDescent="0.2">
      <c r="A506" s="4" t="s">
        <v>0</v>
      </c>
      <c r="B506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06" s="3" t="str">
        <f>HYPERLINK("https://otsuka-europe-crm.veevavault.com/ui/#object/sent_email__v/VBL000000010146", "SE-001397006")</f>
        <v>SE-001397006</v>
      </c>
      <c r="D506" s="1">
        <v>46014.460740740738</v>
      </c>
      <c r="E506" s="2">
        <v>1</v>
      </c>
      <c r="F506" s="2">
        <v>5</v>
      </c>
      <c r="G506" s="2">
        <v>1</v>
      </c>
      <c r="H506" s="1">
        <v>46043.225543981483</v>
      </c>
      <c r="I506" s="2">
        <v>11</v>
      </c>
      <c r="J506" s="1">
        <v>46008.282118055555</v>
      </c>
    </row>
    <row r="507" spans="1:10" x14ac:dyDescent="0.2">
      <c r="A507" s="4" t="s">
        <v>0</v>
      </c>
      <c r="B507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07" s="3" t="str">
        <f>HYPERLINK("https://otsuka-europe-crm.veevavault.com/ui/#object/sent_email__v/VBL000000011265", "SE-001397007")</f>
        <v>SE-001397007</v>
      </c>
      <c r="D507" s="1" t="s">
        <v>1</v>
      </c>
      <c r="E507" s="2">
        <v>0</v>
      </c>
      <c r="F507" s="2">
        <v>0</v>
      </c>
      <c r="G507" s="2">
        <v>0</v>
      </c>
      <c r="H507" s="1" t="s">
        <v>1</v>
      </c>
      <c r="I507" s="2">
        <v>0</v>
      </c>
      <c r="J507" s="1">
        <v>46008.282951388886</v>
      </c>
    </row>
    <row r="508" spans="1:10" x14ac:dyDescent="0.2">
      <c r="A508" s="4" t="s">
        <v>0</v>
      </c>
      <c r="B508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08" s="3" t="str">
        <f>HYPERLINK("https://otsuka-europe-crm.veevavault.com/ui/#object/sent_email__v/VBL000000010147", "SE-001397008")</f>
        <v>SE-001397008</v>
      </c>
      <c r="D508" s="1">
        <v>46070.631979166668</v>
      </c>
      <c r="E508" s="2">
        <v>1</v>
      </c>
      <c r="F508" s="2">
        <v>2</v>
      </c>
      <c r="G508" s="2">
        <v>0</v>
      </c>
      <c r="H508" s="1" t="s">
        <v>1</v>
      </c>
      <c r="I508" s="2">
        <v>0</v>
      </c>
      <c r="J508" s="1">
        <v>46008.283726851849</v>
      </c>
    </row>
    <row r="509" spans="1:10" x14ac:dyDescent="0.2">
      <c r="A509" s="4" t="s">
        <v>0</v>
      </c>
      <c r="B509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09" s="3" t="str">
        <f>HYPERLINK("https://otsuka-europe-crm.veevavault.com/ui/#object/sent_email__v/VBL000000011266", "SE-001397009")</f>
        <v>SE-001397009</v>
      </c>
      <c r="D509" s="1" t="s">
        <v>1</v>
      </c>
      <c r="E509" s="2">
        <v>0</v>
      </c>
      <c r="F509" s="2">
        <v>0</v>
      </c>
      <c r="G509" s="2">
        <v>0</v>
      </c>
      <c r="H509" s="1" t="s">
        <v>1</v>
      </c>
      <c r="I509" s="2">
        <v>0</v>
      </c>
      <c r="J509" s="1">
        <v>46008.284641203703</v>
      </c>
    </row>
    <row r="510" spans="1:10" x14ac:dyDescent="0.2">
      <c r="A510" s="4" t="s">
        <v>0</v>
      </c>
      <c r="B510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0" s="3" t="str">
        <f>HYPERLINK("https://otsuka-europe-crm.veevavault.com/ui/#object/sent_email__v/VBL000000011268", "SE-001397011")</f>
        <v>SE-001397011</v>
      </c>
      <c r="D510" s="1">
        <v>46013.493032407408</v>
      </c>
      <c r="E510" s="2">
        <v>1</v>
      </c>
      <c r="F510" s="2">
        <v>1</v>
      </c>
      <c r="G510" s="2">
        <v>1</v>
      </c>
      <c r="H510" s="1">
        <v>46013.493032407408</v>
      </c>
      <c r="I510" s="2">
        <v>1</v>
      </c>
      <c r="J510" s="1">
        <v>46008.286134259259</v>
      </c>
    </row>
    <row r="511" spans="1:10" x14ac:dyDescent="0.2">
      <c r="A511" s="4" t="s">
        <v>0</v>
      </c>
      <c r="B511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1" s="3" t="str">
        <f>HYPERLINK("https://otsuka-europe-crm.veevavault.com/ui/#object/sent_email__v/VBL000000011269", "SE-001397012")</f>
        <v>SE-001397012</v>
      </c>
      <c r="D511" s="1" t="s">
        <v>1</v>
      </c>
      <c r="E511" s="2">
        <v>0</v>
      </c>
      <c r="F511" s="2">
        <v>0</v>
      </c>
      <c r="G511" s="2">
        <v>0</v>
      </c>
      <c r="H511" s="1" t="s">
        <v>1</v>
      </c>
      <c r="I511" s="2">
        <v>0</v>
      </c>
      <c r="J511" s="1">
        <v>46008.287326388891</v>
      </c>
    </row>
    <row r="512" spans="1:10" x14ac:dyDescent="0.2">
      <c r="A512" s="4" t="s">
        <v>0</v>
      </c>
      <c r="B512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2" s="3" t="str">
        <f>HYPERLINK("https://otsuka-europe-crm.veevavault.com/ui/#object/sent_email__v/VBL000000011271", "SE-001397014")</f>
        <v>SE-001397014</v>
      </c>
      <c r="D512" s="1">
        <v>46008.445891203701</v>
      </c>
      <c r="E512" s="2">
        <v>1</v>
      </c>
      <c r="F512" s="2">
        <v>1</v>
      </c>
      <c r="G512" s="2">
        <v>0</v>
      </c>
      <c r="H512" s="1" t="s">
        <v>1</v>
      </c>
      <c r="I512" s="2">
        <v>0</v>
      </c>
      <c r="J512" s="1">
        <v>46008.289363425924</v>
      </c>
    </row>
    <row r="513" spans="1:10" x14ac:dyDescent="0.2">
      <c r="A513" s="4" t="s">
        <v>0</v>
      </c>
      <c r="B513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3" s="3" t="str">
        <f>HYPERLINK("https://otsuka-europe-crm.veevavault.com/ui/#object/sent_email__v/VBL000000011272", "SE-001397015")</f>
        <v>SE-001397015</v>
      </c>
      <c r="D513" s="1">
        <v>46008.309675925928</v>
      </c>
      <c r="E513" s="2">
        <v>1</v>
      </c>
      <c r="F513" s="2">
        <v>1</v>
      </c>
      <c r="G513" s="2">
        <v>1</v>
      </c>
      <c r="H513" s="1">
        <v>46008.310312499998</v>
      </c>
      <c r="I513" s="2">
        <v>3</v>
      </c>
      <c r="J513" s="1">
        <v>46008.290150462963</v>
      </c>
    </row>
    <row r="514" spans="1:10" x14ac:dyDescent="0.2">
      <c r="A514" s="4" t="s">
        <v>0</v>
      </c>
      <c r="B514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4" s="3" t="str">
        <f>HYPERLINK("https://otsuka-europe-crm.veevavault.com/ui/#object/sent_email__v/VBL000000011273", "SE-001397016")</f>
        <v>SE-001397016</v>
      </c>
      <c r="D514" s="1">
        <v>46039.532349537039</v>
      </c>
      <c r="E514" s="2">
        <v>1</v>
      </c>
      <c r="F514" s="2">
        <v>2</v>
      </c>
      <c r="G514" s="2">
        <v>0</v>
      </c>
      <c r="H514" s="1" t="s">
        <v>1</v>
      </c>
      <c r="I514" s="2">
        <v>0</v>
      </c>
      <c r="J514" s="1">
        <v>46008.291388888887</v>
      </c>
    </row>
    <row r="515" spans="1:10" x14ac:dyDescent="0.2">
      <c r="A515" s="4" t="s">
        <v>0</v>
      </c>
      <c r="B515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5" s="3" t="str">
        <f>HYPERLINK("https://otsuka-europe-crm.veevavault.com/ui/#object/sent_email__v/VBL000000010148", "SE-001397018")</f>
        <v>SE-001397018</v>
      </c>
      <c r="D515" s="1" t="s">
        <v>1</v>
      </c>
      <c r="E515" s="2">
        <v>0</v>
      </c>
      <c r="F515" s="2">
        <v>0</v>
      </c>
      <c r="G515" s="2">
        <v>0</v>
      </c>
      <c r="H515" s="1" t="s">
        <v>1</v>
      </c>
      <c r="I515" s="2">
        <v>0</v>
      </c>
      <c r="J515" s="1">
        <v>46008.292256944442</v>
      </c>
    </row>
    <row r="516" spans="1:10" x14ac:dyDescent="0.2">
      <c r="A516" s="4" t="s">
        <v>0</v>
      </c>
      <c r="B516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6" s="3" t="str">
        <f>HYPERLINK("https://otsuka-europe-crm.veevavault.com/ui/#object/sent_email__v/VBL000000010149", "SE-001397019")</f>
        <v>SE-001397019</v>
      </c>
      <c r="D516" s="1" t="s">
        <v>1</v>
      </c>
      <c r="E516" s="2">
        <v>0</v>
      </c>
      <c r="F516" s="2">
        <v>0</v>
      </c>
      <c r="G516" s="2">
        <v>0</v>
      </c>
      <c r="H516" s="1" t="s">
        <v>1</v>
      </c>
      <c r="I516" s="2">
        <v>0</v>
      </c>
      <c r="J516" s="1">
        <v>46008.293043981481</v>
      </c>
    </row>
    <row r="517" spans="1:10" x14ac:dyDescent="0.2">
      <c r="A517" s="4" t="s">
        <v>0</v>
      </c>
      <c r="B517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7" s="3" t="str">
        <f>HYPERLINK("https://otsuka-europe-crm.veevavault.com/ui/#object/sent_email__v/VBL000000010150", "SE-001397020")</f>
        <v>SE-001397020</v>
      </c>
      <c r="D517" s="1" t="s">
        <v>1</v>
      </c>
      <c r="E517" s="2">
        <v>0</v>
      </c>
      <c r="F517" s="2">
        <v>0</v>
      </c>
      <c r="G517" s="2">
        <v>0</v>
      </c>
      <c r="H517" s="1" t="s">
        <v>1</v>
      </c>
      <c r="I517" s="2">
        <v>0</v>
      </c>
      <c r="J517" s="1">
        <v>46008.293912037036</v>
      </c>
    </row>
    <row r="518" spans="1:10" x14ac:dyDescent="0.2">
      <c r="A518" s="4" t="s">
        <v>0</v>
      </c>
      <c r="B518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8" s="3" t="str">
        <f>HYPERLINK("https://otsuka-europe-crm.veevavault.com/ui/#object/sent_email__v/VBL000000010151", "SE-001397021")</f>
        <v>SE-001397021</v>
      </c>
      <c r="D518" s="1">
        <v>46008.569988425923</v>
      </c>
      <c r="E518" s="2">
        <v>1</v>
      </c>
      <c r="F518" s="2">
        <v>1</v>
      </c>
      <c r="G518" s="2">
        <v>1</v>
      </c>
      <c r="H518" s="1">
        <v>46008.570335648146</v>
      </c>
      <c r="I518" s="2">
        <v>3</v>
      </c>
      <c r="J518" s="1">
        <v>46008.294733796298</v>
      </c>
    </row>
    <row r="519" spans="1:10" x14ac:dyDescent="0.2">
      <c r="A519" s="4" t="s">
        <v>0</v>
      </c>
      <c r="B519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19" s="3" t="str">
        <f>HYPERLINK("https://otsuka-europe-crm.veevavault.com/ui/#object/sent_email__v/VBL000000010152", "SE-001397022")</f>
        <v>SE-001397022</v>
      </c>
      <c r="D519" s="1" t="s">
        <v>1</v>
      </c>
      <c r="E519" s="2">
        <v>0</v>
      </c>
      <c r="F519" s="2">
        <v>0</v>
      </c>
      <c r="G519" s="2">
        <v>0</v>
      </c>
      <c r="H519" s="1" t="s">
        <v>1</v>
      </c>
      <c r="I519" s="2">
        <v>0</v>
      </c>
      <c r="J519" s="1">
        <v>46008.295567129629</v>
      </c>
    </row>
    <row r="520" spans="1:10" x14ac:dyDescent="0.2">
      <c r="A520" s="4" t="s">
        <v>0</v>
      </c>
      <c r="B520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0" s="3" t="str">
        <f>HYPERLINK("https://otsuka-europe-crm.veevavault.com/ui/#object/sent_email__v/VBL000000011279", "SE-001397028")</f>
        <v>SE-001397028</v>
      </c>
      <c r="D520" s="1" t="s">
        <v>1</v>
      </c>
      <c r="E520" s="2">
        <v>0</v>
      </c>
      <c r="F520" s="2">
        <v>0</v>
      </c>
      <c r="G520" s="2">
        <v>0</v>
      </c>
      <c r="H520" s="1" t="s">
        <v>1</v>
      </c>
      <c r="I520" s="2">
        <v>0</v>
      </c>
      <c r="J520" s="1">
        <v>46008.301412037035</v>
      </c>
    </row>
    <row r="521" spans="1:10" x14ac:dyDescent="0.2">
      <c r="A521" s="4" t="s">
        <v>0</v>
      </c>
      <c r="B521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1" s="3" t="str">
        <f>HYPERLINK("https://otsuka-europe-crm.veevavault.com/ui/#object/sent_email__v/VBL000000010154", "SE-001397030")</f>
        <v>SE-001397030</v>
      </c>
      <c r="D521" s="1">
        <v>46010.644259259258</v>
      </c>
      <c r="E521" s="2">
        <v>1</v>
      </c>
      <c r="F521" s="2">
        <v>1</v>
      </c>
      <c r="G521" s="2">
        <v>1</v>
      </c>
      <c r="H521" s="1">
        <v>46035.618171296293</v>
      </c>
      <c r="I521" s="2">
        <v>8</v>
      </c>
      <c r="J521" s="1">
        <v>46008.304212962961</v>
      </c>
    </row>
    <row r="522" spans="1:10" x14ac:dyDescent="0.2">
      <c r="A522" s="4" t="s">
        <v>0</v>
      </c>
      <c r="B522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2" s="3" t="str">
        <f>HYPERLINK("https://otsuka-europe-crm.veevavault.com/ui/#object/sent_email__v/VBL000000010155", "SE-001397031")</f>
        <v>SE-001397031</v>
      </c>
      <c r="D522" s="1" t="s">
        <v>1</v>
      </c>
      <c r="E522" s="2">
        <v>0</v>
      </c>
      <c r="F522" s="2">
        <v>0</v>
      </c>
      <c r="G522" s="2">
        <v>0</v>
      </c>
      <c r="H522" s="1" t="s">
        <v>1</v>
      </c>
      <c r="I522" s="2">
        <v>0</v>
      </c>
      <c r="J522" s="1">
        <v>46008.305601851855</v>
      </c>
    </row>
    <row r="523" spans="1:10" x14ac:dyDescent="0.2">
      <c r="A523" s="4" t="s">
        <v>0</v>
      </c>
      <c r="B523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3" s="3" t="str">
        <f>HYPERLINK("https://otsuka-europe-crm.veevavault.com/ui/#object/sent_email__v/VBL000000010156", "SE-001397032")</f>
        <v>SE-001397032</v>
      </c>
      <c r="D523" s="1">
        <v>46049.580300925925</v>
      </c>
      <c r="E523" s="2">
        <v>1</v>
      </c>
      <c r="F523" s="2">
        <v>6</v>
      </c>
      <c r="G523" s="2">
        <v>1</v>
      </c>
      <c r="H523" s="1">
        <v>46022.928981481484</v>
      </c>
      <c r="I523" s="2">
        <v>1</v>
      </c>
      <c r="J523" s="1">
        <v>46008.309618055559</v>
      </c>
    </row>
    <row r="524" spans="1:10" x14ac:dyDescent="0.2">
      <c r="A524" s="4" t="s">
        <v>0</v>
      </c>
      <c r="B524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4" s="3" t="str">
        <f>HYPERLINK("https://otsuka-europe-crm.veevavault.com/ui/#object/sent_email__v/VBL000000011283", "SE-001397037")</f>
        <v>SE-001397037</v>
      </c>
      <c r="D524" s="1">
        <v>46024.902361111112</v>
      </c>
      <c r="E524" s="2">
        <v>1</v>
      </c>
      <c r="F524" s="2">
        <v>4</v>
      </c>
      <c r="G524" s="2">
        <v>1</v>
      </c>
      <c r="H524" s="1">
        <v>46008.319988425923</v>
      </c>
      <c r="I524" s="2">
        <v>1</v>
      </c>
      <c r="J524" s="1">
        <v>46008.31349537037</v>
      </c>
    </row>
    <row r="525" spans="1:10" x14ac:dyDescent="0.2">
      <c r="A525" s="4" t="s">
        <v>0</v>
      </c>
      <c r="B525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5" s="3" t="str">
        <f>HYPERLINK("https://otsuka-europe-crm.veevavault.com/ui/#object/sent_email__v/VBL000000011286", "SE-001397040")</f>
        <v>SE-001397040</v>
      </c>
      <c r="D525" s="1">
        <v>46051.72179398148</v>
      </c>
      <c r="E525" s="2">
        <v>1</v>
      </c>
      <c r="F525" s="2">
        <v>2</v>
      </c>
      <c r="G525" s="2">
        <v>0</v>
      </c>
      <c r="H525" s="1" t="s">
        <v>1</v>
      </c>
      <c r="I525" s="2">
        <v>0</v>
      </c>
      <c r="J525" s="1">
        <v>46008.316111111111</v>
      </c>
    </row>
    <row r="526" spans="1:10" x14ac:dyDescent="0.2">
      <c r="A526" s="4" t="s">
        <v>0</v>
      </c>
      <c r="B526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6" s="3" t="str">
        <f>HYPERLINK("https://otsuka-europe-crm.veevavault.com/ui/#object/sent_email__v/VBL000000013852", "SE-001399445")</f>
        <v>SE-001399445</v>
      </c>
      <c r="D526" s="1" t="s">
        <v>1</v>
      </c>
      <c r="E526" s="2">
        <v>0</v>
      </c>
      <c r="F526" s="2">
        <v>0</v>
      </c>
      <c r="G526" s="2">
        <v>0</v>
      </c>
      <c r="H526" s="1" t="s">
        <v>1</v>
      </c>
      <c r="I526" s="2">
        <v>0</v>
      </c>
      <c r="J526" s="1">
        <v>46030.503437500003</v>
      </c>
    </row>
    <row r="527" spans="1:10" x14ac:dyDescent="0.2">
      <c r="A527" s="4" t="s">
        <v>0</v>
      </c>
      <c r="B527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7" s="3" t="str">
        <f>HYPERLINK("https://otsuka-europe-crm.veevavault.com/ui/#object/sent_email__v/VBL000000013857", "SE-001399450")</f>
        <v>SE-001399450</v>
      </c>
      <c r="D527" s="1">
        <v>46034.873043981483</v>
      </c>
      <c r="E527" s="2">
        <v>1</v>
      </c>
      <c r="F527" s="2">
        <v>1</v>
      </c>
      <c r="G527" s="2">
        <v>1</v>
      </c>
      <c r="H527" s="1">
        <v>46034.873043981483</v>
      </c>
      <c r="I527" s="2">
        <v>1</v>
      </c>
      <c r="J527" s="1">
        <v>46030.503842592596</v>
      </c>
    </row>
    <row r="528" spans="1:10" x14ac:dyDescent="0.2">
      <c r="A528" s="4" t="s">
        <v>0</v>
      </c>
      <c r="B528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8" s="3" t="str">
        <f>HYPERLINK("https://otsuka-europe-crm.veevavault.com/ui/#object/sent_email__v/VBL000000013858", "SE-001399451")</f>
        <v>SE-001399451</v>
      </c>
      <c r="D528" s="1">
        <v>46066.5778125</v>
      </c>
      <c r="E528" s="2">
        <v>1</v>
      </c>
      <c r="F528" s="2">
        <v>3</v>
      </c>
      <c r="G528" s="2">
        <v>1</v>
      </c>
      <c r="H528" s="1">
        <v>46031.375844907408</v>
      </c>
      <c r="I528" s="2">
        <v>1</v>
      </c>
      <c r="J528" s="1">
        <v>46030.503923611112</v>
      </c>
    </row>
    <row r="529" spans="1:10" x14ac:dyDescent="0.2">
      <c r="A529" s="4" t="s">
        <v>0</v>
      </c>
      <c r="B529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29" s="3" t="str">
        <f>HYPERLINK("https://otsuka-europe-crm.veevavault.com/ui/#object/sent_email__v/VBL000000013859", "SE-001399452")</f>
        <v>SE-001399452</v>
      </c>
      <c r="D529" s="1">
        <v>46030.98300925926</v>
      </c>
      <c r="E529" s="2">
        <v>1</v>
      </c>
      <c r="F529" s="2">
        <v>1</v>
      </c>
      <c r="G529" s="2">
        <v>0</v>
      </c>
      <c r="H529" s="1" t="s">
        <v>1</v>
      </c>
      <c r="I529" s="2">
        <v>0</v>
      </c>
      <c r="J529" s="1">
        <v>46030.504004629627</v>
      </c>
    </row>
    <row r="530" spans="1:10" x14ac:dyDescent="0.2">
      <c r="A530" s="4" t="s">
        <v>0</v>
      </c>
      <c r="B530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0" s="3" t="str">
        <f>HYPERLINK("https://otsuka-europe-crm.veevavault.com/ui/#object/sent_email__v/VBL000000013861", "SE-001399454")</f>
        <v>SE-001399454</v>
      </c>
      <c r="D530" s="1">
        <v>46035.450127314813</v>
      </c>
      <c r="E530" s="2">
        <v>1</v>
      </c>
      <c r="F530" s="2">
        <v>1</v>
      </c>
      <c r="G530" s="2">
        <v>1</v>
      </c>
      <c r="H530" s="1">
        <v>46035.450127314813</v>
      </c>
      <c r="I530" s="2">
        <v>1</v>
      </c>
      <c r="J530" s="1">
        <v>46030.512280092589</v>
      </c>
    </row>
    <row r="531" spans="1:10" x14ac:dyDescent="0.2">
      <c r="A531" s="4" t="s">
        <v>0</v>
      </c>
      <c r="B531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1" s="3" t="str">
        <f>HYPERLINK("https://otsuka-europe-crm.veevavault.com/ui/#object/sent_email__v/VBL000000013863", "SE-001399456")</f>
        <v>SE-001399456</v>
      </c>
      <c r="D531" s="1">
        <v>46030.616388888891</v>
      </c>
      <c r="E531" s="2">
        <v>1</v>
      </c>
      <c r="F531" s="2">
        <v>1</v>
      </c>
      <c r="G531" s="2">
        <v>1</v>
      </c>
      <c r="H531" s="1">
        <v>46030.616562499999</v>
      </c>
      <c r="I531" s="2">
        <v>1</v>
      </c>
      <c r="J531" s="1">
        <v>46030.512418981481</v>
      </c>
    </row>
    <row r="532" spans="1:10" x14ac:dyDescent="0.2">
      <c r="A532" s="4" t="s">
        <v>0</v>
      </c>
      <c r="B532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2" s="3" t="str">
        <f>HYPERLINK("https://otsuka-europe-crm.veevavault.com/ui/#object/sent_email__v/VBL000000013864", "SE-001399457")</f>
        <v>SE-001399457</v>
      </c>
      <c r="D532" s="1">
        <v>46039.620173611111</v>
      </c>
      <c r="E532" s="2">
        <v>1</v>
      </c>
      <c r="F532" s="2">
        <v>2</v>
      </c>
      <c r="G532" s="2">
        <v>0</v>
      </c>
      <c r="H532" s="1" t="s">
        <v>1</v>
      </c>
      <c r="I532" s="2">
        <v>0</v>
      </c>
      <c r="J532" s="1">
        <v>46030.512499999997</v>
      </c>
    </row>
    <row r="533" spans="1:10" x14ac:dyDescent="0.2">
      <c r="A533" s="4" t="s">
        <v>0</v>
      </c>
      <c r="B533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3" s="3" t="str">
        <f>HYPERLINK("https://otsuka-europe-crm.veevavault.com/ui/#object/sent_email__v/VBL000000013865", "SE-001399458")</f>
        <v>SE-001399458</v>
      </c>
      <c r="D533" s="1">
        <v>46033.341238425928</v>
      </c>
      <c r="E533" s="2">
        <v>1</v>
      </c>
      <c r="F533" s="2">
        <v>1</v>
      </c>
      <c r="G533" s="2">
        <v>1</v>
      </c>
      <c r="H533" s="1">
        <v>46033.341238425928</v>
      </c>
      <c r="I533" s="2">
        <v>1</v>
      </c>
      <c r="J533" s="1">
        <v>46030.512569444443</v>
      </c>
    </row>
    <row r="534" spans="1:10" x14ac:dyDescent="0.2">
      <c r="A534" s="4" t="s">
        <v>0</v>
      </c>
      <c r="B534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4" s="3" t="str">
        <f>HYPERLINK("https://otsuka-europe-crm.veevavault.com/ui/#object/sent_email__v/VBL000000013866", "SE-001399459")</f>
        <v>SE-001399459</v>
      </c>
      <c r="D534" s="1">
        <v>46033.480937499997</v>
      </c>
      <c r="E534" s="2">
        <v>1</v>
      </c>
      <c r="F534" s="2">
        <v>1</v>
      </c>
      <c r="G534" s="2">
        <v>1</v>
      </c>
      <c r="H534" s="1">
        <v>46033.480937499997</v>
      </c>
      <c r="I534" s="2">
        <v>1</v>
      </c>
      <c r="J534" s="1">
        <v>46030.512650462966</v>
      </c>
    </row>
    <row r="535" spans="1:10" x14ac:dyDescent="0.2">
      <c r="A535" s="4" t="s">
        <v>0</v>
      </c>
      <c r="B535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5" s="3" t="str">
        <f>HYPERLINK("https://otsuka-europe-crm.veevavault.com/ui/#object/sent_email__v/VBL000000013867", "SE-001399460")</f>
        <v>SE-001399460</v>
      </c>
      <c r="D535" s="1">
        <v>46030.513657407406</v>
      </c>
      <c r="E535" s="2">
        <v>1</v>
      </c>
      <c r="F535" s="2">
        <v>1</v>
      </c>
      <c r="G535" s="2">
        <v>1</v>
      </c>
      <c r="H535" s="1">
        <v>46030.513657407406</v>
      </c>
      <c r="I535" s="2">
        <v>1</v>
      </c>
      <c r="J535" s="1">
        <v>46030.512731481482</v>
      </c>
    </row>
    <row r="536" spans="1:10" x14ac:dyDescent="0.2">
      <c r="A536" s="4" t="s">
        <v>0</v>
      </c>
      <c r="B536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6" s="3" t="str">
        <f>HYPERLINK("https://otsuka-europe-crm.veevavault.com/ui/#object/sent_email__v/VBL000000013868", "SE-001399461")</f>
        <v>SE-001399461</v>
      </c>
      <c r="D536" s="1" t="s">
        <v>1</v>
      </c>
      <c r="E536" s="2">
        <v>0</v>
      </c>
      <c r="F536" s="2">
        <v>0</v>
      </c>
      <c r="G536" s="2">
        <v>0</v>
      </c>
      <c r="H536" s="1" t="s">
        <v>1</v>
      </c>
      <c r="I536" s="2">
        <v>0</v>
      </c>
      <c r="J536" s="1">
        <v>46030.512800925928</v>
      </c>
    </row>
    <row r="537" spans="1:10" x14ac:dyDescent="0.2">
      <c r="A537" s="4" t="s">
        <v>0</v>
      </c>
      <c r="B537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7" s="3" t="str">
        <f>HYPERLINK("https://otsuka-europe-crm.veevavault.com/ui/#object/sent_email__v/VBL000000013869", "SE-001399462")</f>
        <v>SE-001399462</v>
      </c>
      <c r="D537" s="1">
        <v>46031.786064814813</v>
      </c>
      <c r="E537" s="2">
        <v>1</v>
      </c>
      <c r="F537" s="2">
        <v>5</v>
      </c>
      <c r="G537" s="2">
        <v>0</v>
      </c>
      <c r="H537" s="1" t="s">
        <v>1</v>
      </c>
      <c r="I537" s="2">
        <v>0</v>
      </c>
      <c r="J537" s="1">
        <v>46030.512916666667</v>
      </c>
    </row>
    <row r="538" spans="1:10" x14ac:dyDescent="0.2">
      <c r="A538" s="4" t="s">
        <v>0</v>
      </c>
      <c r="B538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8" s="3" t="str">
        <f>HYPERLINK("https://otsuka-europe-crm.veevavault.com/ui/#object/sent_email__v/VBL000000013874", "SE-001399467")</f>
        <v>SE-001399467</v>
      </c>
      <c r="D538" s="1">
        <v>46030.678564814814</v>
      </c>
      <c r="E538" s="2">
        <v>1</v>
      </c>
      <c r="F538" s="2">
        <v>3</v>
      </c>
      <c r="G538" s="2">
        <v>0</v>
      </c>
      <c r="H538" s="1" t="s">
        <v>1</v>
      </c>
      <c r="I538" s="2">
        <v>0</v>
      </c>
      <c r="J538" s="1">
        <v>46030.51390046296</v>
      </c>
    </row>
    <row r="539" spans="1:10" x14ac:dyDescent="0.2">
      <c r="A539" s="4" t="s">
        <v>0</v>
      </c>
      <c r="B539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39" s="3" t="str">
        <f>HYPERLINK("https://otsuka-europe-crm.veevavault.com/ui/#object/sent_email__v/VBL000000013876", "SE-001399469")</f>
        <v>SE-001399469</v>
      </c>
      <c r="D539" s="1" t="s">
        <v>1</v>
      </c>
      <c r="E539" s="2">
        <v>0</v>
      </c>
      <c r="F539" s="2">
        <v>0</v>
      </c>
      <c r="G539" s="2">
        <v>0</v>
      </c>
      <c r="H539" s="1" t="s">
        <v>1</v>
      </c>
      <c r="I539" s="2">
        <v>0</v>
      </c>
      <c r="J539" s="1">
        <v>46030.514039351852</v>
      </c>
    </row>
    <row r="540" spans="1:10" x14ac:dyDescent="0.2">
      <c r="A540" s="4" t="s">
        <v>0</v>
      </c>
      <c r="B540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40" s="3" t="str">
        <f>HYPERLINK("https://otsuka-europe-crm.veevavault.com/ui/#object/sent_email__v/VBL000000013877", "SE-001399470")</f>
        <v>SE-001399470</v>
      </c>
      <c r="D540" s="1">
        <v>46030.581087962964</v>
      </c>
      <c r="E540" s="2">
        <v>1</v>
      </c>
      <c r="F540" s="2">
        <v>1</v>
      </c>
      <c r="G540" s="2">
        <v>1</v>
      </c>
      <c r="H540" s="1">
        <v>46049.581562500003</v>
      </c>
      <c r="I540" s="2">
        <v>4</v>
      </c>
      <c r="J540" s="1">
        <v>46030.514155092591</v>
      </c>
    </row>
    <row r="541" spans="1:10" x14ac:dyDescent="0.2">
      <c r="A541" s="4" t="s">
        <v>0</v>
      </c>
      <c r="B541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41" s="3" t="str">
        <f>HYPERLINK("https://otsuka-europe-crm.veevavault.com/ui/#object/sent_email__v/VBL000000013881", "SE-001399474")</f>
        <v>SE-001399474</v>
      </c>
      <c r="D541" s="1" t="s">
        <v>1</v>
      </c>
      <c r="E541" s="2">
        <v>0</v>
      </c>
      <c r="F541" s="2">
        <v>0</v>
      </c>
      <c r="G541" s="2">
        <v>0</v>
      </c>
      <c r="H541" s="1" t="s">
        <v>1</v>
      </c>
      <c r="I541" s="2">
        <v>0</v>
      </c>
      <c r="J541" s="1">
        <v>46030.514467592591</v>
      </c>
    </row>
    <row r="542" spans="1:10" x14ac:dyDescent="0.2">
      <c r="A542" s="4" t="s">
        <v>0</v>
      </c>
      <c r="B542" s="3" t="str">
        <f>HYPERLINK("https://otsuka-europe-crm.veevavault.com/ui/#object/approved_document__v/V5O00000000H048", "VAE AT - Einladung Lupologen WS NÖ/B/W (Rheumatologie)")</f>
        <v>VAE AT - Einladung Lupologen WS NÖ/B/W (Rheumatologie)</v>
      </c>
      <c r="C542" s="3" t="str">
        <f>HYPERLINK("https://otsuka-europe-crm.veevavault.com/ui/#object/sent_email__v/VBL000000013884", "SE-001399477")</f>
        <v>SE-001399477</v>
      </c>
      <c r="D542" s="1">
        <v>46030.593078703707</v>
      </c>
      <c r="E542" s="2">
        <v>1</v>
      </c>
      <c r="F542" s="2">
        <v>2</v>
      </c>
      <c r="G542" s="2">
        <v>0</v>
      </c>
      <c r="H542" s="1" t="s">
        <v>1</v>
      </c>
      <c r="I542" s="2">
        <v>0</v>
      </c>
      <c r="J542" s="1">
        <v>46030.514699074076</v>
      </c>
    </row>
    <row r="543" spans="1:10" x14ac:dyDescent="0.2">
      <c r="A543" s="4" t="s">
        <v>0</v>
      </c>
      <c r="B543" s="3" t="str">
        <f>HYPERLINK("https://otsuka-europe-crm.veevavault.com/ui/#object/approved_document__v/V5OZ025E82U1WX5", "VAE AT - Jinarc Grüne Box (Nephrologie)")</f>
        <v>VAE AT - Jinarc Grüne Box (Nephrologie)</v>
      </c>
      <c r="C543" s="3" t="str">
        <f>HYPERLINK("https://otsuka-europe-crm.veevavault.com/ui/#object/sent_email__v/VBLZ025E82H0YZ5", "SE-000280947")</f>
        <v>SE-000280947</v>
      </c>
      <c r="D543" s="1">
        <v>45926.279548611114</v>
      </c>
      <c r="E543" s="2">
        <v>1</v>
      </c>
      <c r="F543" s="2">
        <v>1</v>
      </c>
      <c r="G543" s="2">
        <v>0</v>
      </c>
      <c r="H543" s="1" t="s">
        <v>1</v>
      </c>
      <c r="I543" s="2">
        <v>0</v>
      </c>
      <c r="J543" s="1">
        <v>45926.27783564815</v>
      </c>
    </row>
    <row r="544" spans="1:10" x14ac:dyDescent="0.2">
      <c r="A544" s="4" t="s">
        <v>0</v>
      </c>
      <c r="B544" s="3" t="str">
        <f>HYPERLINK("https://otsuka-europe-crm.veevavault.com/ui/#object/approved_document__v/V5OZ025E82U1WX5", "VAE AT - Jinarc Grüne Box (Nephrologie)")</f>
        <v>VAE AT - Jinarc Grüne Box (Nephrologie)</v>
      </c>
      <c r="C544" s="3" t="str">
        <f>HYPERLINK("https://otsuka-europe-crm.veevavault.com/ui/#object/sent_email__v/VBLZ025E82H0Z1X", "SE-000280948")</f>
        <v>SE-000280948</v>
      </c>
      <c r="D544" s="1" t="s">
        <v>1</v>
      </c>
      <c r="E544" s="2">
        <v>0</v>
      </c>
      <c r="F544" s="2">
        <v>0</v>
      </c>
      <c r="G544" s="2">
        <v>0</v>
      </c>
      <c r="H544" s="1" t="s">
        <v>1</v>
      </c>
      <c r="I544" s="2">
        <v>0</v>
      </c>
      <c r="J544" s="1">
        <v>45926.278287037036</v>
      </c>
    </row>
    <row r="545" spans="1:10" x14ac:dyDescent="0.2">
      <c r="A545" s="4" t="s">
        <v>0</v>
      </c>
      <c r="B545" s="3" t="str">
        <f>HYPERLINK("https://otsuka-europe-crm.veevavault.com/ui/#object/approved_document__v/V5OZ025E82U1WX5", "VAE AT - Jinarc Grüne Box (Nephrologie)")</f>
        <v>VAE AT - Jinarc Grüne Box (Nephrologie)</v>
      </c>
      <c r="C545" s="3" t="str">
        <f>HYPERLINK("https://otsuka-europe-crm.veevavault.com/ui/#object/sent_email__v/VBLZ025E82H0Z4P", "SE-000280949")</f>
        <v>SE-000280949</v>
      </c>
      <c r="D545" s="1">
        <v>45926.407939814817</v>
      </c>
      <c r="E545" s="2">
        <v>1</v>
      </c>
      <c r="F545" s="2">
        <v>1</v>
      </c>
      <c r="G545" s="2">
        <v>0</v>
      </c>
      <c r="H545" s="1" t="s">
        <v>1</v>
      </c>
      <c r="I545" s="2">
        <v>0</v>
      </c>
      <c r="J545" s="1">
        <v>45926.278761574074</v>
      </c>
    </row>
    <row r="546" spans="1:10" x14ac:dyDescent="0.2">
      <c r="A546" s="4" t="s">
        <v>0</v>
      </c>
      <c r="B546" s="3" t="str">
        <f>HYPERLINK("https://otsuka-europe-crm.veevavault.com/ui/#object/approved_document__v/V5OZ025E82U1WX5", "VAE AT - Jinarc Grüne Box (Nephrologie)")</f>
        <v>VAE AT - Jinarc Grüne Box (Nephrologie)</v>
      </c>
      <c r="C546" s="3" t="str">
        <f>HYPERLINK("https://otsuka-europe-crm.veevavault.com/ui/#object/sent_email__v/VBLZ025E82H0Z7H", "SE-000280950")</f>
        <v>SE-000280950</v>
      </c>
      <c r="D546" s="1" t="s">
        <v>1</v>
      </c>
      <c r="E546" s="2">
        <v>0</v>
      </c>
      <c r="F546" s="2">
        <v>0</v>
      </c>
      <c r="G546" s="2">
        <v>0</v>
      </c>
      <c r="H546" s="1" t="s">
        <v>1</v>
      </c>
      <c r="I546" s="2">
        <v>0</v>
      </c>
      <c r="J546" s="1">
        <v>45926.279189814813</v>
      </c>
    </row>
    <row r="547" spans="1:10" x14ac:dyDescent="0.2">
      <c r="A547" s="4" t="s">
        <v>0</v>
      </c>
      <c r="B547" s="3" t="str">
        <f>HYPERLINK("https://otsuka-europe-crm.veevavault.com/ui/#object/approved_document__v/V5OZ025E82U1WX5", "VAE AT - Jinarc Grüne Box (Nephrologie)")</f>
        <v>VAE AT - Jinarc Grüne Box (Nephrologie)</v>
      </c>
      <c r="C547" s="3" t="str">
        <f>HYPERLINK("https://otsuka-europe-crm.veevavault.com/ui/#object/sent_email__v/VBLZ025E82H0ZA9", "SE-000280951")</f>
        <v>SE-000280951</v>
      </c>
      <c r="D547" s="1" t="s">
        <v>1</v>
      </c>
      <c r="E547" s="2">
        <v>0</v>
      </c>
      <c r="F547" s="2">
        <v>0</v>
      </c>
      <c r="G547" s="2">
        <v>0</v>
      </c>
      <c r="H547" s="1" t="s">
        <v>1</v>
      </c>
      <c r="I547" s="2">
        <v>0</v>
      </c>
      <c r="J547" s="1">
        <v>45926.287638888891</v>
      </c>
    </row>
    <row r="548" spans="1:10" x14ac:dyDescent="0.2">
      <c r="A548" s="4" t="s">
        <v>0</v>
      </c>
      <c r="B548" s="3" t="str">
        <f>HYPERLINK("https://otsuka-europe-crm.veevavault.com/ui/#object/approved_document__v/V5OZ025E82U1WX5", "VAE AT - Jinarc Grüne Box (Nephrologie)")</f>
        <v>VAE AT - Jinarc Grüne Box (Nephrologie)</v>
      </c>
      <c r="C548" s="3" t="str">
        <f>HYPERLINK("https://otsuka-europe-crm.veevavault.com/ui/#object/sent_email__v/VBLZ025E82H0ZD1", "SE-000280952")</f>
        <v>SE-000280952</v>
      </c>
      <c r="D548" s="1" t="s">
        <v>1</v>
      </c>
      <c r="E548" s="2">
        <v>0</v>
      </c>
      <c r="F548" s="2">
        <v>0</v>
      </c>
      <c r="G548" s="2">
        <v>0</v>
      </c>
      <c r="H548" s="1" t="s">
        <v>1</v>
      </c>
      <c r="I548" s="2">
        <v>0</v>
      </c>
      <c r="J548" s="1">
        <v>45926.288287037038</v>
      </c>
    </row>
    <row r="549" spans="1:10" x14ac:dyDescent="0.2">
      <c r="A549" s="4" t="s">
        <v>0</v>
      </c>
      <c r="B549" s="3" t="str">
        <f>HYPERLINK("https://otsuka-europe-crm.veevavault.com/ui/#object/approved_document__v/V5OZ025E82U1WX5", "VAE AT - Jinarc Grüne Box (Nephrologie)")</f>
        <v>VAE AT - Jinarc Grüne Box (Nephrologie)</v>
      </c>
      <c r="C549" s="3" t="str">
        <f>HYPERLINK("https://otsuka-europe-crm.veevavault.com/ui/#object/sent_email__v/VBLZ025E82H0ZLD", "SE-000280953")</f>
        <v>SE-000280953</v>
      </c>
      <c r="D549" s="1" t="s">
        <v>1</v>
      </c>
      <c r="E549" s="2">
        <v>0</v>
      </c>
      <c r="F549" s="2">
        <v>0</v>
      </c>
      <c r="G549" s="2">
        <v>0</v>
      </c>
      <c r="H549" s="1" t="s">
        <v>1</v>
      </c>
      <c r="I549" s="2">
        <v>0</v>
      </c>
      <c r="J549" s="1">
        <v>45926.288703703707</v>
      </c>
    </row>
    <row r="550" spans="1:10" x14ac:dyDescent="0.2">
      <c r="A550" s="4" t="s">
        <v>0</v>
      </c>
      <c r="B550" s="3" t="str">
        <f>HYPERLINK("https://otsuka-europe-crm.veevavault.com/ui/#object/approved_document__v/V5OZ025E82U1WX5", "VAE AT - Jinarc Grüne Box (Nephrologie)")</f>
        <v>VAE AT - Jinarc Grüne Box (Nephrologie)</v>
      </c>
      <c r="C550" s="3" t="str">
        <f>HYPERLINK("https://otsuka-europe-crm.veevavault.com/ui/#object/sent_email__v/VBLZ025E82H0ZO5", "SE-000280954")</f>
        <v>SE-000280954</v>
      </c>
      <c r="D550" s="1" t="s">
        <v>1</v>
      </c>
      <c r="E550" s="2">
        <v>0</v>
      </c>
      <c r="F550" s="2">
        <v>0</v>
      </c>
      <c r="G550" s="2">
        <v>0</v>
      </c>
      <c r="H550" s="1" t="s">
        <v>1</v>
      </c>
      <c r="I550" s="2">
        <v>0</v>
      </c>
      <c r="J550" s="1">
        <v>45926.289849537039</v>
      </c>
    </row>
    <row r="551" spans="1:10" x14ac:dyDescent="0.2">
      <c r="A551" s="4" t="s">
        <v>0</v>
      </c>
      <c r="B551" s="3" t="str">
        <f>HYPERLINK("https://otsuka-europe-crm.veevavault.com/ui/#object/approved_document__v/V5OZ025E82U1WX5", "VAE AT - Jinarc Grüne Box (Nephrologie)")</f>
        <v>VAE AT - Jinarc Grüne Box (Nephrologie)</v>
      </c>
      <c r="C551" s="3" t="str">
        <f>HYPERLINK("https://otsuka-europe-crm.veevavault.com/ui/#object/sent_email__v/VBLZ025E82H0ZQX", "SE-000280955")</f>
        <v>SE-000280955</v>
      </c>
      <c r="D551" s="1" t="s">
        <v>1</v>
      </c>
      <c r="E551" s="2">
        <v>0</v>
      </c>
      <c r="F551" s="2">
        <v>0</v>
      </c>
      <c r="G551" s="2">
        <v>0</v>
      </c>
      <c r="H551" s="1" t="s">
        <v>1</v>
      </c>
      <c r="I551" s="2">
        <v>0</v>
      </c>
      <c r="J551" s="1">
        <v>45926.290208333332</v>
      </c>
    </row>
    <row r="552" spans="1:10" x14ac:dyDescent="0.2">
      <c r="A552" s="4" t="s">
        <v>0</v>
      </c>
      <c r="B552" s="3" t="str">
        <f>HYPERLINK("https://otsuka-europe-crm.veevavault.com/ui/#object/approved_document__v/V5OZ025E82U1WX5", "VAE AT - Jinarc Grüne Box (Nephrologie)")</f>
        <v>VAE AT - Jinarc Grüne Box (Nephrologie)</v>
      </c>
      <c r="C552" s="3" t="str">
        <f>HYPERLINK("https://otsuka-europe-crm.veevavault.com/ui/#object/sent_email__v/VBLZ025E82H0ZTP", "SE-000280956")</f>
        <v>SE-000280956</v>
      </c>
      <c r="D552" s="1" t="s">
        <v>1</v>
      </c>
      <c r="E552" s="2">
        <v>0</v>
      </c>
      <c r="F552" s="2">
        <v>0</v>
      </c>
      <c r="G552" s="2">
        <v>0</v>
      </c>
      <c r="H552" s="1" t="s">
        <v>1</v>
      </c>
      <c r="I552" s="2">
        <v>0</v>
      </c>
      <c r="J552" s="1">
        <v>45926.290856481479</v>
      </c>
    </row>
    <row r="553" spans="1:10" x14ac:dyDescent="0.2">
      <c r="A553" s="4" t="s">
        <v>0</v>
      </c>
      <c r="B553" s="3" t="str">
        <f>HYPERLINK("https://otsuka-europe-crm.veevavault.com/ui/#object/approved_document__v/V5OZ025E82U1WX5", "VAE AT - Jinarc Grüne Box (Nephrologie)")</f>
        <v>VAE AT - Jinarc Grüne Box (Nephrologie)</v>
      </c>
      <c r="C553" s="3" t="str">
        <f>HYPERLINK("https://otsuka-europe-crm.veevavault.com/ui/#object/sent_email__v/VBLZ025E82H0Z7I", "SE-000280957")</f>
        <v>SE-000280957</v>
      </c>
      <c r="D553" s="1" t="s">
        <v>1</v>
      </c>
      <c r="E553" s="2">
        <v>0</v>
      </c>
      <c r="F553" s="2">
        <v>0</v>
      </c>
      <c r="G553" s="2">
        <v>0</v>
      </c>
      <c r="H553" s="1" t="s">
        <v>1</v>
      </c>
      <c r="I553" s="2">
        <v>0</v>
      </c>
      <c r="J553" s="1">
        <v>45926.291296296295</v>
      </c>
    </row>
    <row r="554" spans="1:10" x14ac:dyDescent="0.2">
      <c r="A554" s="4" t="s">
        <v>0</v>
      </c>
      <c r="B554" s="3" t="str">
        <f>HYPERLINK("https://otsuka-europe-crm.veevavault.com/ui/#object/approved_document__v/V5OZ025E82U1WX5", "VAE AT - Jinarc Grüne Box (Nephrologie)")</f>
        <v>VAE AT - Jinarc Grüne Box (Nephrologie)</v>
      </c>
      <c r="C554" s="3" t="str">
        <f>HYPERLINK("https://otsuka-europe-crm.veevavault.com/ui/#object/sent_email__v/VBLZ025E82H0ZQY", "SE-000280958")</f>
        <v>SE-000280958</v>
      </c>
      <c r="D554" s="1" t="s">
        <v>1</v>
      </c>
      <c r="E554" s="2">
        <v>0</v>
      </c>
      <c r="F554" s="2">
        <v>0</v>
      </c>
      <c r="G554" s="2">
        <v>0</v>
      </c>
      <c r="H554" s="1" t="s">
        <v>1</v>
      </c>
      <c r="I554" s="2">
        <v>0</v>
      </c>
      <c r="J554" s="1">
        <v>45926.291875000003</v>
      </c>
    </row>
    <row r="555" spans="1:10" x14ac:dyDescent="0.2">
      <c r="A555" s="4" t="s">
        <v>0</v>
      </c>
      <c r="B555" s="3" t="str">
        <f>HYPERLINK("https://otsuka-europe-crm.veevavault.com/ui/#object/approved_document__v/V5OZ025E82U1WX5", "VAE AT - Jinarc Grüne Box (Nephrologie)")</f>
        <v>VAE AT - Jinarc Grüne Box (Nephrologie)</v>
      </c>
      <c r="C555" s="3" t="str">
        <f>HYPERLINK("https://otsuka-europe-crm.veevavault.com/ui/#object/sent_email__v/VBLZ025E82H0ZZ9", "SE-000280959")</f>
        <v>SE-000280959</v>
      </c>
      <c r="D555" s="1" t="s">
        <v>1</v>
      </c>
      <c r="E555" s="2">
        <v>0</v>
      </c>
      <c r="F555" s="2">
        <v>0</v>
      </c>
      <c r="G555" s="2">
        <v>0</v>
      </c>
      <c r="H555" s="1" t="s">
        <v>1</v>
      </c>
      <c r="I555" s="2">
        <v>0</v>
      </c>
      <c r="J555" s="1">
        <v>45926.29314814815</v>
      </c>
    </row>
    <row r="556" spans="1:10" x14ac:dyDescent="0.2">
      <c r="A556" s="4" t="s">
        <v>0</v>
      </c>
      <c r="B556" s="3" t="str">
        <f>HYPERLINK("https://otsuka-europe-crm.veevavault.com/ui/#object/approved_document__v/V5OZ025E82U1WX5", "VAE AT - Jinarc Grüne Box (Nephrologie)")</f>
        <v>VAE AT - Jinarc Grüne Box (Nephrologie)</v>
      </c>
      <c r="C556" s="3" t="str">
        <f>HYPERLINK("https://otsuka-europe-crm.veevavault.com/ui/#object/sent_email__v/VBLZ025E82H1021", "SE-000280960")</f>
        <v>SE-000280960</v>
      </c>
      <c r="D556" s="1" t="s">
        <v>1</v>
      </c>
      <c r="E556" s="2">
        <v>0</v>
      </c>
      <c r="F556" s="2">
        <v>0</v>
      </c>
      <c r="G556" s="2">
        <v>0</v>
      </c>
      <c r="H556" s="1" t="s">
        <v>1</v>
      </c>
      <c r="I556" s="2">
        <v>0</v>
      </c>
      <c r="J556" s="1">
        <v>45926.294398148151</v>
      </c>
    </row>
    <row r="557" spans="1:10" x14ac:dyDescent="0.2">
      <c r="A557" s="4" t="s">
        <v>0</v>
      </c>
      <c r="B557" s="3" t="str">
        <f>HYPERLINK("https://otsuka-europe-crm.veevavault.com/ui/#object/approved_document__v/V5OZ025E82U1WX5", "VAE AT - Jinarc Grüne Box (Nephrologie)")</f>
        <v>VAE AT - Jinarc Grüne Box (Nephrologie)</v>
      </c>
      <c r="C557" s="3" t="str">
        <f>HYPERLINK("https://otsuka-europe-crm.veevavault.com/ui/#object/sent_email__v/VBLZ025E82H104T", "SE-000280961")</f>
        <v>SE-000280961</v>
      </c>
      <c r="D557" s="1" t="s">
        <v>1</v>
      </c>
      <c r="E557" s="2">
        <v>0</v>
      </c>
      <c r="F557" s="2">
        <v>0</v>
      </c>
      <c r="G557" s="2">
        <v>0</v>
      </c>
      <c r="H557" s="1" t="s">
        <v>1</v>
      </c>
      <c r="I557" s="2">
        <v>0</v>
      </c>
      <c r="J557" s="1">
        <v>45926.294814814813</v>
      </c>
    </row>
    <row r="558" spans="1:10" x14ac:dyDescent="0.2">
      <c r="A558" s="4" t="s">
        <v>0</v>
      </c>
      <c r="B558" s="3" t="str">
        <f>HYPERLINK("https://otsuka-europe-crm.veevavault.com/ui/#object/approved_document__v/V5OZ025E82U1WX5", "VAE AT - Jinarc Grüne Box (Nephrologie)")</f>
        <v>VAE AT - Jinarc Grüne Box (Nephrologie)</v>
      </c>
      <c r="C558" s="3" t="str">
        <f>HYPERLINK("https://otsuka-europe-crm.veevavault.com/ui/#object/sent_email__v/VBLZ025E82H107L", "SE-000280962")</f>
        <v>SE-000280962</v>
      </c>
      <c r="D558" s="1" t="s">
        <v>1</v>
      </c>
      <c r="E558" s="2">
        <v>0</v>
      </c>
      <c r="F558" s="2">
        <v>0</v>
      </c>
      <c r="G558" s="2">
        <v>0</v>
      </c>
      <c r="H558" s="1" t="s">
        <v>1</v>
      </c>
      <c r="I558" s="2">
        <v>0</v>
      </c>
      <c r="J558" s="1">
        <v>45926.295185185183</v>
      </c>
    </row>
    <row r="559" spans="1:10" x14ac:dyDescent="0.2">
      <c r="A559" s="4" t="s">
        <v>0</v>
      </c>
      <c r="B559" s="3" t="str">
        <f>HYPERLINK("https://otsuka-europe-crm.veevavault.com/ui/#object/approved_document__v/V5OZ025E82U1WX5", "VAE AT - Jinarc Grüne Box (Nephrologie)")</f>
        <v>VAE AT - Jinarc Grüne Box (Nephrologie)</v>
      </c>
      <c r="C559" s="3" t="str">
        <f>HYPERLINK("https://otsuka-europe-crm.veevavault.com/ui/#object/sent_email__v/VBLZ025E82H10D5", "SE-000280964")</f>
        <v>SE-000280964</v>
      </c>
      <c r="D559" s="1" t="s">
        <v>1</v>
      </c>
      <c r="E559" s="2">
        <v>0</v>
      </c>
      <c r="F559" s="2">
        <v>0</v>
      </c>
      <c r="G559" s="2">
        <v>0</v>
      </c>
      <c r="H559" s="1" t="s">
        <v>1</v>
      </c>
      <c r="I559" s="2">
        <v>0</v>
      </c>
      <c r="J559" s="1">
        <v>45926.296076388891</v>
      </c>
    </row>
    <row r="560" spans="1:10" x14ac:dyDescent="0.2">
      <c r="A560" s="4" t="s">
        <v>0</v>
      </c>
      <c r="B560" s="3" t="str">
        <f>HYPERLINK("https://otsuka-europe-crm.veevavault.com/ui/#object/approved_document__v/V5OZ025E82U1WX5", "VAE AT - Jinarc Grüne Box (Nephrologie)")</f>
        <v>VAE AT - Jinarc Grüne Box (Nephrologie)</v>
      </c>
      <c r="C560" s="3" t="str">
        <f>HYPERLINK("https://otsuka-europe-crm.veevavault.com/ui/#object/sent_email__v/VBLZ025E82H10IP", "SE-000280966")</f>
        <v>SE-000280966</v>
      </c>
      <c r="D560" s="1" t="s">
        <v>1</v>
      </c>
      <c r="E560" s="2">
        <v>0</v>
      </c>
      <c r="F560" s="2">
        <v>0</v>
      </c>
      <c r="G560" s="2">
        <v>0</v>
      </c>
      <c r="H560" s="1" t="s">
        <v>1</v>
      </c>
      <c r="I560" s="2">
        <v>0</v>
      </c>
      <c r="J560" s="1">
        <v>45926.297152777777</v>
      </c>
    </row>
    <row r="561" spans="1:10" x14ac:dyDescent="0.2">
      <c r="A561" s="4" t="s">
        <v>0</v>
      </c>
      <c r="B561" s="3" t="str">
        <f>HYPERLINK("https://otsuka-europe-crm.veevavault.com/ui/#object/approved_document__v/V5OZ025E82U1WX5", "VAE AT - Jinarc Grüne Box (Nephrologie)")</f>
        <v>VAE AT - Jinarc Grüne Box (Nephrologie)</v>
      </c>
      <c r="C561" s="3" t="str">
        <f>HYPERLINK("https://otsuka-europe-crm.veevavault.com/ui/#object/sent_email__v/VBLZ025E82H10LH", "SE-000280967")</f>
        <v>SE-000280967</v>
      </c>
      <c r="D561" s="1" t="s">
        <v>1</v>
      </c>
      <c r="E561" s="2">
        <v>0</v>
      </c>
      <c r="F561" s="2">
        <v>0</v>
      </c>
      <c r="G561" s="2">
        <v>0</v>
      </c>
      <c r="H561" s="1" t="s">
        <v>1</v>
      </c>
      <c r="I561" s="2">
        <v>0</v>
      </c>
      <c r="J561" s="1">
        <v>45926.298101851855</v>
      </c>
    </row>
    <row r="562" spans="1:10" x14ac:dyDescent="0.2">
      <c r="A562" s="4" t="s">
        <v>0</v>
      </c>
      <c r="B562" s="3" t="str">
        <f>HYPERLINK("https://otsuka-europe-crm.veevavault.com/ui/#object/approved_document__v/V5OZ025E82U1WX5", "VAE AT - Jinarc Grüne Box (Nephrologie)")</f>
        <v>VAE AT - Jinarc Grüne Box (Nephrologie)</v>
      </c>
      <c r="C562" s="3" t="str">
        <f>HYPERLINK("https://otsuka-europe-crm.veevavault.com/ui/#object/sent_email__v/VBLZ025E82H10O9", "SE-000280968")</f>
        <v>SE-000280968</v>
      </c>
      <c r="D562" s="1" t="s">
        <v>1</v>
      </c>
      <c r="E562" s="2">
        <v>0</v>
      </c>
      <c r="F562" s="2">
        <v>0</v>
      </c>
      <c r="G562" s="2">
        <v>0</v>
      </c>
      <c r="H562" s="1" t="s">
        <v>1</v>
      </c>
      <c r="I562" s="2">
        <v>0</v>
      </c>
      <c r="J562" s="1">
        <v>45926.298530092594</v>
      </c>
    </row>
    <row r="563" spans="1:10" x14ac:dyDescent="0.2">
      <c r="A563" s="4" t="s">
        <v>0</v>
      </c>
      <c r="B563" s="3" t="str">
        <f>HYPERLINK("https://otsuka-europe-crm.veevavault.com/ui/#object/approved_document__v/V5OZ025E82U1WX5", "VAE AT - Jinarc Grüne Box (Nephrologie)")</f>
        <v>VAE AT - Jinarc Grüne Box (Nephrologie)</v>
      </c>
      <c r="C563" s="3" t="str">
        <f>HYPERLINK("https://otsuka-europe-crm.veevavault.com/ui/#object/sent_email__v/VBLZ025E82H10R1", "SE-000280969")</f>
        <v>SE-000280969</v>
      </c>
      <c r="D563" s="1">
        <v>45926.303298611114</v>
      </c>
      <c r="E563" s="2">
        <v>1</v>
      </c>
      <c r="F563" s="2">
        <v>1</v>
      </c>
      <c r="G563" s="2">
        <v>0</v>
      </c>
      <c r="H563" s="1" t="s">
        <v>1</v>
      </c>
      <c r="I563" s="2">
        <v>0</v>
      </c>
      <c r="J563" s="1">
        <v>45926.299247685187</v>
      </c>
    </row>
    <row r="564" spans="1:10" x14ac:dyDescent="0.2">
      <c r="A564" s="4" t="s">
        <v>0</v>
      </c>
      <c r="B564" s="3" t="str">
        <f>HYPERLINK("https://otsuka-europe-crm.veevavault.com/ui/#object/approved_document__v/V5OZ025E82U1WX5", "VAE AT - Jinarc Grüne Box (Nephrologie)")</f>
        <v>VAE AT - Jinarc Grüne Box (Nephrologie)</v>
      </c>
      <c r="C564" s="3" t="str">
        <f>HYPERLINK("https://otsuka-europe-crm.veevavault.com/ui/#object/sent_email__v/VBLZ025E82H10TT", "SE-000280970")</f>
        <v>SE-000280970</v>
      </c>
      <c r="D564" s="1" t="s">
        <v>1</v>
      </c>
      <c r="E564" s="2">
        <v>0</v>
      </c>
      <c r="F564" s="2">
        <v>0</v>
      </c>
      <c r="G564" s="2">
        <v>0</v>
      </c>
      <c r="H564" s="1" t="s">
        <v>1</v>
      </c>
      <c r="I564" s="2">
        <v>0</v>
      </c>
      <c r="J564" s="1">
        <v>45926.300555555557</v>
      </c>
    </row>
    <row r="565" spans="1:10" x14ac:dyDescent="0.2">
      <c r="A565" s="4" t="s">
        <v>0</v>
      </c>
      <c r="B565" s="3" t="str">
        <f>HYPERLINK("https://otsuka-europe-crm.veevavault.com/ui/#object/approved_document__v/V5OZ025E82U1WX5", "VAE AT - Jinarc Grüne Box (Nephrologie)")</f>
        <v>VAE AT - Jinarc Grüne Box (Nephrologie)</v>
      </c>
      <c r="C565" s="3" t="str">
        <f>HYPERLINK("https://otsuka-europe-crm.veevavault.com/ui/#object/sent_email__v/VBLZ025E82H10WL", "SE-000280971")</f>
        <v>SE-000280971</v>
      </c>
      <c r="D565" s="1" t="s">
        <v>1</v>
      </c>
      <c r="E565" s="2">
        <v>0</v>
      </c>
      <c r="F565" s="2">
        <v>0</v>
      </c>
      <c r="G565" s="2">
        <v>0</v>
      </c>
      <c r="H565" s="1" t="s">
        <v>1</v>
      </c>
      <c r="I565" s="2">
        <v>0</v>
      </c>
      <c r="J565" s="1">
        <v>45926.301435185182</v>
      </c>
    </row>
    <row r="566" spans="1:10" x14ac:dyDescent="0.2">
      <c r="A566" s="4" t="s">
        <v>0</v>
      </c>
      <c r="B566" s="3" t="str">
        <f>HYPERLINK("https://otsuka-europe-crm.veevavault.com/ui/#object/approved_document__v/V5OZ025E82U1WX5", "VAE AT - Jinarc Grüne Box (Nephrologie)")</f>
        <v>VAE AT - Jinarc Grüne Box (Nephrologie)</v>
      </c>
      <c r="C566" s="3" t="str">
        <f>HYPERLINK("https://otsuka-europe-crm.veevavault.com/ui/#object/sent_email__v/VBLZ025E82H1125", "SE-000280988")</f>
        <v>SE-000280988</v>
      </c>
      <c r="D566" s="1" t="s">
        <v>1</v>
      </c>
      <c r="E566" s="2">
        <v>0</v>
      </c>
      <c r="F566" s="2">
        <v>0</v>
      </c>
      <c r="G566" s="2">
        <v>0</v>
      </c>
      <c r="H566" s="1" t="s">
        <v>1</v>
      </c>
      <c r="I566" s="2">
        <v>0</v>
      </c>
      <c r="J566" s="1">
        <v>45926.302060185182</v>
      </c>
    </row>
    <row r="567" spans="1:10" x14ac:dyDescent="0.2">
      <c r="A567" s="4" t="s">
        <v>0</v>
      </c>
      <c r="B567" s="3" t="str">
        <f>HYPERLINK("https://otsuka-europe-crm.veevavault.com/ui/#object/approved_document__v/V5OZ025E82U1WX5", "VAE AT - Jinarc Grüne Box (Nephrologie)")</f>
        <v>VAE AT - Jinarc Grüne Box (Nephrologie)</v>
      </c>
      <c r="C567" s="3" t="str">
        <f>HYPERLINK("https://otsuka-europe-crm.veevavault.com/ui/#object/sent_email__v/VBLZ025E82H114X", "SE-000280989")</f>
        <v>SE-000280989</v>
      </c>
      <c r="D567" s="1" t="s">
        <v>1</v>
      </c>
      <c r="E567" s="2">
        <v>0</v>
      </c>
      <c r="F567" s="2">
        <v>0</v>
      </c>
      <c r="G567" s="2">
        <v>0</v>
      </c>
      <c r="H567" s="1" t="s">
        <v>1</v>
      </c>
      <c r="I567" s="2">
        <v>0</v>
      </c>
      <c r="J567" s="1">
        <v>45926.305625000001</v>
      </c>
    </row>
    <row r="568" spans="1:10" x14ac:dyDescent="0.2">
      <c r="A568" s="4" t="s">
        <v>0</v>
      </c>
      <c r="B568" s="3" t="str">
        <f>HYPERLINK("https://otsuka-europe-crm.veevavault.com/ui/#object/approved_document__v/V5OZ025E82U1WX5", "VAE AT - Jinarc Grüne Box (Nephrologie)")</f>
        <v>VAE AT - Jinarc Grüne Box (Nephrologie)</v>
      </c>
      <c r="C568" s="3" t="str">
        <f>HYPERLINK("https://otsuka-europe-crm.veevavault.com/ui/#object/sent_email__v/VBLZ025E82H117P", "SE-000280990")</f>
        <v>SE-000280990</v>
      </c>
      <c r="D568" s="1" t="s">
        <v>1</v>
      </c>
      <c r="E568" s="2">
        <v>0</v>
      </c>
      <c r="F568" s="2">
        <v>0</v>
      </c>
      <c r="G568" s="2">
        <v>0</v>
      </c>
      <c r="H568" s="1" t="s">
        <v>1</v>
      </c>
      <c r="I568" s="2">
        <v>0</v>
      </c>
      <c r="J568" s="1">
        <v>45926.307245370372</v>
      </c>
    </row>
    <row r="569" spans="1:10" x14ac:dyDescent="0.2">
      <c r="A569" s="4" t="s">
        <v>0</v>
      </c>
      <c r="B569" s="3" t="str">
        <f>HYPERLINK("https://otsuka-europe-crm.veevavault.com/ui/#object/approved_document__v/V5OZ025E82U1WX5", "VAE AT - Jinarc Grüne Box (Nephrologie)")</f>
        <v>VAE AT - Jinarc Grüne Box (Nephrologie)</v>
      </c>
      <c r="C569" s="3" t="str">
        <f>HYPERLINK("https://otsuka-europe-crm.veevavault.com/ui/#object/sent_email__v/VBLZ025E82H11AH", "SE-000280991")</f>
        <v>SE-000280991</v>
      </c>
      <c r="D569" s="1" t="s">
        <v>1</v>
      </c>
      <c r="E569" s="2">
        <v>0</v>
      </c>
      <c r="F569" s="2">
        <v>0</v>
      </c>
      <c r="G569" s="2">
        <v>0</v>
      </c>
      <c r="H569" s="1" t="s">
        <v>1</v>
      </c>
      <c r="I569" s="2">
        <v>0</v>
      </c>
      <c r="J569" s="1">
        <v>45926.308888888889</v>
      </c>
    </row>
    <row r="570" spans="1:10" x14ac:dyDescent="0.2">
      <c r="A570" s="4" t="s">
        <v>0</v>
      </c>
      <c r="B570" s="3" t="str">
        <f>HYPERLINK("https://otsuka-europe-crm.veevavault.com/ui/#object/approved_document__v/V5OZ025E82U1WX5", "VAE AT - Jinarc Grüne Box (Nephrologie)")</f>
        <v>VAE AT - Jinarc Grüne Box (Nephrologie)</v>
      </c>
      <c r="C570" s="3" t="str">
        <f>HYPERLINK("https://otsuka-europe-crm.veevavault.com/ui/#object/sent_email__v/VBLZ025E82H11D9", "SE-000280992")</f>
        <v>SE-000280992</v>
      </c>
      <c r="D570" s="1" t="s">
        <v>1</v>
      </c>
      <c r="E570" s="2">
        <v>0</v>
      </c>
      <c r="F570" s="2">
        <v>0</v>
      </c>
      <c r="G570" s="2">
        <v>0</v>
      </c>
      <c r="H570" s="1" t="s">
        <v>1</v>
      </c>
      <c r="I570" s="2">
        <v>0</v>
      </c>
      <c r="J570" s="1">
        <v>45926.309293981481</v>
      </c>
    </row>
    <row r="571" spans="1:10" x14ac:dyDescent="0.2">
      <c r="A571" s="4" t="s">
        <v>0</v>
      </c>
      <c r="B571" s="3" t="str">
        <f>HYPERLINK("https://otsuka-europe-crm.veevavault.com/ui/#object/approved_document__v/V5OZ025E82U1WX5", "VAE AT - Jinarc Grüne Box (Nephrologie)")</f>
        <v>VAE AT - Jinarc Grüne Box (Nephrologie)</v>
      </c>
      <c r="C571" s="3" t="str">
        <f>HYPERLINK("https://otsuka-europe-crm.veevavault.com/ui/#object/sent_email__v/VBLZ025E82H11G1", "SE-000280993")</f>
        <v>SE-000280993</v>
      </c>
      <c r="D571" s="1">
        <v>45937.574652777781</v>
      </c>
      <c r="E571" s="2">
        <v>1</v>
      </c>
      <c r="F571" s="2">
        <v>2</v>
      </c>
      <c r="G571" s="2">
        <v>0</v>
      </c>
      <c r="H571" s="1" t="s">
        <v>1</v>
      </c>
      <c r="I571" s="2">
        <v>0</v>
      </c>
      <c r="J571" s="1">
        <v>45926.309884259259</v>
      </c>
    </row>
    <row r="572" spans="1:10" x14ac:dyDescent="0.2">
      <c r="A572" s="4" t="s">
        <v>0</v>
      </c>
      <c r="B572" s="3" t="str">
        <f>HYPERLINK("https://otsuka-europe-crm.veevavault.com/ui/#object/approved_document__v/V5OZ025E82U1WX5", "VAE AT - Jinarc Grüne Box (Nephrologie)")</f>
        <v>VAE AT - Jinarc Grüne Box (Nephrologie)</v>
      </c>
      <c r="C572" s="3" t="str">
        <f>HYPERLINK("https://otsuka-europe-crm.veevavault.com/ui/#object/sent_email__v/VBLZ025E82H11IT", "SE-000280994")</f>
        <v>SE-000280994</v>
      </c>
      <c r="D572" s="1" t="s">
        <v>1</v>
      </c>
      <c r="E572" s="2">
        <v>0</v>
      </c>
      <c r="F572" s="2">
        <v>0</v>
      </c>
      <c r="G572" s="2">
        <v>0</v>
      </c>
      <c r="H572" s="1" t="s">
        <v>1</v>
      </c>
      <c r="I572" s="2">
        <v>0</v>
      </c>
      <c r="J572" s="1">
        <v>45926.310173611113</v>
      </c>
    </row>
    <row r="573" spans="1:10" x14ac:dyDescent="0.2">
      <c r="A573" s="4" t="s">
        <v>0</v>
      </c>
      <c r="B573" s="3" t="str">
        <f>HYPERLINK("https://otsuka-europe-crm.veevavault.com/ui/#object/approved_document__v/V5OZ025E82U1WX5", "VAE AT - Jinarc Grüne Box (Nephrologie)")</f>
        <v>VAE AT - Jinarc Grüne Box (Nephrologie)</v>
      </c>
      <c r="C573" s="3" t="str">
        <f>HYPERLINK("https://otsuka-europe-crm.veevavault.com/ui/#object/sent_email__v/VBLZ025E82H11LL", "SE-000280995")</f>
        <v>SE-000280995</v>
      </c>
      <c r="D573" s="1" t="s">
        <v>1</v>
      </c>
      <c r="E573" s="2">
        <v>0</v>
      </c>
      <c r="F573" s="2">
        <v>0</v>
      </c>
      <c r="G573" s="2">
        <v>0</v>
      </c>
      <c r="H573" s="1" t="s">
        <v>1</v>
      </c>
      <c r="I573" s="2">
        <v>0</v>
      </c>
      <c r="J573" s="1">
        <v>45926.310474537036</v>
      </c>
    </row>
    <row r="574" spans="1:10" x14ac:dyDescent="0.2">
      <c r="A574" s="4" t="s">
        <v>0</v>
      </c>
      <c r="B574" s="3" t="str">
        <f>HYPERLINK("https://otsuka-europe-crm.veevavault.com/ui/#object/approved_document__v/V5OZ025E82U1WX5", "VAE AT - Jinarc Grüne Box (Nephrologie)")</f>
        <v>VAE AT - Jinarc Grüne Box (Nephrologie)</v>
      </c>
      <c r="C574" s="3" t="str">
        <f>HYPERLINK("https://otsuka-europe-crm.veevavault.com/ui/#object/sent_email__v/VBLZ025E82H11OD", "SE-000280996")</f>
        <v>SE-000280996</v>
      </c>
      <c r="D574" s="1" t="s">
        <v>1</v>
      </c>
      <c r="E574" s="2">
        <v>0</v>
      </c>
      <c r="F574" s="2">
        <v>0</v>
      </c>
      <c r="G574" s="2">
        <v>0</v>
      </c>
      <c r="H574" s="1" t="s">
        <v>1</v>
      </c>
      <c r="I574" s="2">
        <v>0</v>
      </c>
      <c r="J574" s="1">
        <v>45926.310787037037</v>
      </c>
    </row>
    <row r="575" spans="1:10" x14ac:dyDescent="0.2">
      <c r="A575" s="4" t="s">
        <v>0</v>
      </c>
      <c r="B575" s="3" t="str">
        <f>HYPERLINK("https://otsuka-europe-crm.veevavault.com/ui/#object/approved_document__v/V5OZ025E82U1WX5", "VAE AT - Jinarc Grüne Box (Nephrologie)")</f>
        <v>VAE AT - Jinarc Grüne Box (Nephrologie)</v>
      </c>
      <c r="C575" s="3" t="str">
        <f>HYPERLINK("https://otsuka-europe-crm.veevavault.com/ui/#object/sent_email__v/VBLZ025E82H11R5", "SE-000280997")</f>
        <v>SE-000280997</v>
      </c>
      <c r="D575" s="1" t="s">
        <v>1</v>
      </c>
      <c r="E575" s="2">
        <v>0</v>
      </c>
      <c r="F575" s="2">
        <v>0</v>
      </c>
      <c r="G575" s="2">
        <v>0</v>
      </c>
      <c r="H575" s="1" t="s">
        <v>1</v>
      </c>
      <c r="I575" s="2">
        <v>0</v>
      </c>
      <c r="J575" s="1">
        <v>45926.312118055554</v>
      </c>
    </row>
    <row r="576" spans="1:10" x14ac:dyDescent="0.2">
      <c r="A576" s="4" t="s">
        <v>0</v>
      </c>
      <c r="B576" s="3" t="str">
        <f>HYPERLINK("https://otsuka-europe-crm.veevavault.com/ui/#object/approved_document__v/V5OZ025E82U1WX5", "VAE AT - Jinarc Grüne Box (Nephrologie)")</f>
        <v>VAE AT - Jinarc Grüne Box (Nephrologie)</v>
      </c>
      <c r="C576" s="3" t="str">
        <f>HYPERLINK("https://otsuka-europe-crm.veevavault.com/ui/#object/sent_email__v/VBLZ025E82H11TX", "SE-000280998")</f>
        <v>SE-000280998</v>
      </c>
      <c r="D576" s="1" t="s">
        <v>1</v>
      </c>
      <c r="E576" s="2">
        <v>0</v>
      </c>
      <c r="F576" s="2">
        <v>0</v>
      </c>
      <c r="G576" s="2">
        <v>0</v>
      </c>
      <c r="H576" s="1" t="s">
        <v>1</v>
      </c>
      <c r="I576" s="2">
        <v>0</v>
      </c>
      <c r="J576" s="1">
        <v>45926.312627314815</v>
      </c>
    </row>
    <row r="577" spans="1:10" x14ac:dyDescent="0.2">
      <c r="A577" s="4" t="s">
        <v>0</v>
      </c>
      <c r="B577" s="3" t="str">
        <f>HYPERLINK("https://otsuka-europe-crm.veevavault.com/ui/#object/approved_document__v/V5OZ025E82U1WX5", "VAE AT - Jinarc Grüne Box (Nephrologie)")</f>
        <v>VAE AT - Jinarc Grüne Box (Nephrologie)</v>
      </c>
      <c r="C577" s="3" t="str">
        <f>HYPERLINK("https://otsuka-europe-crm.veevavault.com/ui/#object/sent_email__v/VBLZ025E82H11WP", "SE-000280999")</f>
        <v>SE-000280999</v>
      </c>
      <c r="D577" s="1" t="s">
        <v>1</v>
      </c>
      <c r="E577" s="2">
        <v>0</v>
      </c>
      <c r="F577" s="2">
        <v>0</v>
      </c>
      <c r="G577" s="2">
        <v>0</v>
      </c>
      <c r="H577" s="1" t="s">
        <v>1</v>
      </c>
      <c r="I577" s="2">
        <v>0</v>
      </c>
      <c r="J577" s="1">
        <v>45926.312905092593</v>
      </c>
    </row>
    <row r="578" spans="1:10" x14ac:dyDescent="0.2">
      <c r="A578" s="4" t="s">
        <v>0</v>
      </c>
      <c r="B578" s="3" t="str">
        <f>HYPERLINK("https://otsuka-europe-crm.veevavault.com/ui/#object/approved_document__v/V5OZ025E82U1WX5", "VAE AT - Jinarc Grüne Box (Nephrologie)")</f>
        <v>VAE AT - Jinarc Grüne Box (Nephrologie)</v>
      </c>
      <c r="C578" s="3" t="str">
        <f>HYPERLINK("https://otsuka-europe-crm.veevavault.com/ui/#object/sent_email__v/VBLZ025E82H11ZH", "SE-000281000")</f>
        <v>SE-000281000</v>
      </c>
      <c r="D578" s="1" t="s">
        <v>1</v>
      </c>
      <c r="E578" s="2">
        <v>0</v>
      </c>
      <c r="F578" s="2">
        <v>0</v>
      </c>
      <c r="G578" s="2">
        <v>0</v>
      </c>
      <c r="H578" s="1" t="s">
        <v>1</v>
      </c>
      <c r="I578" s="2">
        <v>0</v>
      </c>
      <c r="J578" s="1">
        <v>45926.313750000001</v>
      </c>
    </row>
    <row r="579" spans="1:10" x14ac:dyDescent="0.2">
      <c r="A579" s="4" t="s">
        <v>0</v>
      </c>
      <c r="B579" s="3" t="str">
        <f>HYPERLINK("https://otsuka-europe-crm.veevavault.com/ui/#object/approved_document__v/V5OZ025E82U1WX5", "VAE AT - Jinarc Grüne Box (Nephrologie)")</f>
        <v>VAE AT - Jinarc Grüne Box (Nephrologie)</v>
      </c>
      <c r="C579" s="3" t="str">
        <f>HYPERLINK("https://otsuka-europe-crm.veevavault.com/ui/#object/sent_email__v/VBLZ025E82H1229", "SE-000281001")</f>
        <v>SE-000281001</v>
      </c>
      <c r="D579" s="1">
        <v>45926.371157407404</v>
      </c>
      <c r="E579" s="2">
        <v>1</v>
      </c>
      <c r="F579" s="2">
        <v>1</v>
      </c>
      <c r="G579" s="2">
        <v>0</v>
      </c>
      <c r="H579" s="1" t="s">
        <v>1</v>
      </c>
      <c r="I579" s="2">
        <v>0</v>
      </c>
      <c r="J579" s="1">
        <v>45926.315763888888</v>
      </c>
    </row>
    <row r="580" spans="1:10" x14ac:dyDescent="0.2">
      <c r="A580" s="4" t="s">
        <v>0</v>
      </c>
      <c r="B580" s="3" t="str">
        <f>HYPERLINK("https://otsuka-europe-crm.veevavault.com/ui/#object/approved_document__v/V5OZ025E82TL7RK", "VAE AT - Save the Date LN Webinar OPEL Nov 2025 (Infektiologie)")</f>
        <v>VAE AT - Save the Date LN Webinar OPEL Nov 2025 (Infektiologie)</v>
      </c>
      <c r="C580" s="3" t="str">
        <f>HYPERLINK("https://otsuka-europe-crm.veevavault.com/ui/#object/sent_email__v/VBLZ025E82GO4MP", "SE-000275527")</f>
        <v>SE-000275527</v>
      </c>
      <c r="D580" s="1">
        <v>45922.320798611108</v>
      </c>
      <c r="E580" s="2">
        <v>1</v>
      </c>
      <c r="F580" s="2">
        <v>2</v>
      </c>
      <c r="G580" s="2">
        <v>0</v>
      </c>
      <c r="H580" s="1" t="s">
        <v>1</v>
      </c>
      <c r="I580" s="2">
        <v>0</v>
      </c>
      <c r="J580" s="1">
        <v>45915.50513888889</v>
      </c>
    </row>
    <row r="581" spans="1:10" x14ac:dyDescent="0.2">
      <c r="A581" s="4" t="s">
        <v>0</v>
      </c>
      <c r="B581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1" s="3" t="str">
        <f>HYPERLINK("https://otsuka-europe-crm.veevavault.com/ui/#object/sent_email__v/VBLZ025E82GNMHX", "SE-000272815")</f>
        <v>SE-000272815</v>
      </c>
      <c r="D581" s="1">
        <v>45915.464733796296</v>
      </c>
      <c r="E581" s="2">
        <v>1</v>
      </c>
      <c r="F581" s="2">
        <v>4</v>
      </c>
      <c r="G581" s="2">
        <v>0</v>
      </c>
      <c r="H581" s="1" t="s">
        <v>1</v>
      </c>
      <c r="I581" s="2">
        <v>0</v>
      </c>
      <c r="J581" s="1">
        <v>45915.415833333333</v>
      </c>
    </row>
    <row r="582" spans="1:10" x14ac:dyDescent="0.2">
      <c r="A582" s="4" t="s">
        <v>0</v>
      </c>
      <c r="B582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2" s="3" t="str">
        <f>HYPERLINK("https://otsuka-europe-crm.veevavault.com/ui/#object/sent_email__v/VBLZ025E82GNMQ9", "SE-000272816")</f>
        <v>SE-000272816</v>
      </c>
      <c r="D582" s="1" t="s">
        <v>1</v>
      </c>
      <c r="E582" s="2">
        <v>0</v>
      </c>
      <c r="F582" s="2">
        <v>0</v>
      </c>
      <c r="G582" s="2">
        <v>0</v>
      </c>
      <c r="H582" s="1" t="s">
        <v>1</v>
      </c>
      <c r="I582" s="2">
        <v>0</v>
      </c>
      <c r="J582" s="1">
        <v>45915.416354166664</v>
      </c>
    </row>
    <row r="583" spans="1:10" x14ac:dyDescent="0.2">
      <c r="A583" s="4" t="s">
        <v>0</v>
      </c>
      <c r="B583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3" s="3" t="str">
        <f>HYPERLINK("https://otsuka-europe-crm.veevavault.com/ui/#object/sent_email__v/VBLZ025E82GNMT1", "SE-000272817")</f>
        <v>SE-000272817</v>
      </c>
      <c r="D583" s="1" t="s">
        <v>1</v>
      </c>
      <c r="E583" s="2">
        <v>0</v>
      </c>
      <c r="F583" s="2">
        <v>0</v>
      </c>
      <c r="G583" s="2">
        <v>0</v>
      </c>
      <c r="H583" s="1" t="s">
        <v>1</v>
      </c>
      <c r="I583" s="2">
        <v>0</v>
      </c>
      <c r="J583" s="1">
        <v>45915.416655092595</v>
      </c>
    </row>
    <row r="584" spans="1:10" x14ac:dyDescent="0.2">
      <c r="A584" s="4" t="s">
        <v>0</v>
      </c>
      <c r="B584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4" s="3" t="str">
        <f>HYPERLINK("https://otsuka-europe-crm.veevavault.com/ui/#object/sent_email__v/VBLZ025E82GNN1D", "SE-000272818")</f>
        <v>SE-000272818</v>
      </c>
      <c r="D584" s="1" t="s">
        <v>1</v>
      </c>
      <c r="E584" s="2">
        <v>0</v>
      </c>
      <c r="F584" s="2">
        <v>0</v>
      </c>
      <c r="G584" s="2">
        <v>0</v>
      </c>
      <c r="H584" s="1" t="s">
        <v>1</v>
      </c>
      <c r="I584" s="2">
        <v>0</v>
      </c>
      <c r="J584" s="1">
        <v>45915.417233796295</v>
      </c>
    </row>
    <row r="585" spans="1:10" x14ac:dyDescent="0.2">
      <c r="A585" s="4" t="s">
        <v>0</v>
      </c>
      <c r="B585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5" s="3" t="str">
        <f>HYPERLINK("https://otsuka-europe-crm.veevavault.com/ui/#object/sent_email__v/VBLZ025E82GNN9P", "SE-000272820")</f>
        <v>SE-000272820</v>
      </c>
      <c r="D585" s="1" t="s">
        <v>1</v>
      </c>
      <c r="E585" s="2">
        <v>0</v>
      </c>
      <c r="F585" s="2">
        <v>0</v>
      </c>
      <c r="G585" s="2">
        <v>0</v>
      </c>
      <c r="H585" s="1" t="s">
        <v>1</v>
      </c>
      <c r="I585" s="2">
        <v>0</v>
      </c>
      <c r="J585" s="1">
        <v>45915.41783564815</v>
      </c>
    </row>
    <row r="586" spans="1:10" x14ac:dyDescent="0.2">
      <c r="A586" s="4" t="s">
        <v>0</v>
      </c>
      <c r="B586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6" s="3" t="str">
        <f>HYPERLINK("https://otsuka-europe-crm.veevavault.com/ui/#object/sent_email__v/VBLZ025E82GNNCH", "SE-000272821")</f>
        <v>SE-000272821</v>
      </c>
      <c r="D586" s="1" t="s">
        <v>1</v>
      </c>
      <c r="E586" s="2">
        <v>0</v>
      </c>
      <c r="F586" s="2">
        <v>0</v>
      </c>
      <c r="G586" s="2">
        <v>0</v>
      </c>
      <c r="H586" s="1" t="s">
        <v>1</v>
      </c>
      <c r="I586" s="2">
        <v>0</v>
      </c>
      <c r="J586" s="1">
        <v>45915.418136574073</v>
      </c>
    </row>
    <row r="587" spans="1:10" x14ac:dyDescent="0.2">
      <c r="A587" s="4" t="s">
        <v>0</v>
      </c>
      <c r="B587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7" s="3" t="str">
        <f>HYPERLINK("https://otsuka-europe-crm.veevavault.com/ui/#object/sent_email__v/VBLZ025E82GNNF9", "SE-000272822")</f>
        <v>SE-000272822</v>
      </c>
      <c r="D587" s="1">
        <v>45915.87363425926</v>
      </c>
      <c r="E587" s="2">
        <v>1</v>
      </c>
      <c r="F587" s="2">
        <v>1</v>
      </c>
      <c r="G587" s="2">
        <v>0</v>
      </c>
      <c r="H587" s="1" t="s">
        <v>1</v>
      </c>
      <c r="I587" s="2">
        <v>0</v>
      </c>
      <c r="J587" s="1">
        <v>45915.418414351851</v>
      </c>
    </row>
    <row r="588" spans="1:10" x14ac:dyDescent="0.2">
      <c r="A588" s="4" t="s">
        <v>0</v>
      </c>
      <c r="B588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8" s="3" t="str">
        <f>HYPERLINK("https://otsuka-europe-crm.veevavault.com/ui/#object/sent_email__v/VBLZ025E82GNRFP", "SE-000275463")</f>
        <v>SE-000275463</v>
      </c>
      <c r="D588" s="1" t="s">
        <v>1</v>
      </c>
      <c r="E588" s="2">
        <v>0</v>
      </c>
      <c r="F588" s="2">
        <v>0</v>
      </c>
      <c r="G588" s="2">
        <v>0</v>
      </c>
      <c r="H588" s="1" t="s">
        <v>1</v>
      </c>
      <c r="I588" s="2">
        <v>0</v>
      </c>
      <c r="J588" s="1">
        <v>45915.431516203702</v>
      </c>
    </row>
    <row r="589" spans="1:10" x14ac:dyDescent="0.2">
      <c r="A589" s="4" t="s">
        <v>0</v>
      </c>
      <c r="B589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89" s="3" t="str">
        <f>HYPERLINK("https://otsuka-europe-crm.veevavault.com/ui/#object/sent_email__v/VBLZ025E82GNRWD", "SE-000275467")</f>
        <v>SE-000275467</v>
      </c>
      <c r="D589" s="1" t="s">
        <v>1</v>
      </c>
      <c r="E589" s="2">
        <v>0</v>
      </c>
      <c r="F589" s="2">
        <v>0</v>
      </c>
      <c r="G589" s="2">
        <v>0</v>
      </c>
      <c r="H589" s="1" t="s">
        <v>1</v>
      </c>
      <c r="I589" s="2">
        <v>0</v>
      </c>
      <c r="J589" s="1">
        <v>45915.43304398148</v>
      </c>
    </row>
    <row r="590" spans="1:10" x14ac:dyDescent="0.2">
      <c r="A590" s="4" t="s">
        <v>0</v>
      </c>
      <c r="B590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0" s="3" t="str">
        <f>HYPERLINK("https://otsuka-europe-crm.veevavault.com/ui/#object/sent_email__v/VBLZ025E82GNS1X", "SE-000275468")</f>
        <v>SE-000275468</v>
      </c>
      <c r="D590" s="1" t="s">
        <v>1</v>
      </c>
      <c r="E590" s="2">
        <v>0</v>
      </c>
      <c r="F590" s="2">
        <v>0</v>
      </c>
      <c r="G590" s="2">
        <v>0</v>
      </c>
      <c r="H590" s="1" t="s">
        <v>1</v>
      </c>
      <c r="I590" s="2">
        <v>0</v>
      </c>
      <c r="J590" s="1">
        <v>45915.433425925927</v>
      </c>
    </row>
    <row r="591" spans="1:10" x14ac:dyDescent="0.2">
      <c r="A591" s="4" t="s">
        <v>0</v>
      </c>
      <c r="B591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1" s="3" t="str">
        <f>HYPERLINK("https://otsuka-europe-crm.veevavault.com/ui/#object/sent_email__v/VBLZ025E82GNS4P", "SE-000275469")</f>
        <v>SE-000275469</v>
      </c>
      <c r="D591" s="1" t="s">
        <v>1</v>
      </c>
      <c r="E591" s="2">
        <v>0</v>
      </c>
      <c r="F591" s="2">
        <v>0</v>
      </c>
      <c r="G591" s="2">
        <v>0</v>
      </c>
      <c r="H591" s="1" t="s">
        <v>1</v>
      </c>
      <c r="I591" s="2">
        <v>0</v>
      </c>
      <c r="J591" s="1">
        <v>45915.43378472222</v>
      </c>
    </row>
    <row r="592" spans="1:10" x14ac:dyDescent="0.2">
      <c r="A592" s="4" t="s">
        <v>0</v>
      </c>
      <c r="B592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2" s="3" t="str">
        <f>HYPERLINK("https://otsuka-europe-crm.veevavault.com/ui/#object/sent_email__v/VBLZ025E82GNSD1", "SE-000275472")</f>
        <v>SE-000275472</v>
      </c>
      <c r="D592" s="1" t="s">
        <v>1</v>
      </c>
      <c r="E592" s="2">
        <v>0</v>
      </c>
      <c r="F592" s="2">
        <v>0</v>
      </c>
      <c r="G592" s="2">
        <v>0</v>
      </c>
      <c r="H592" s="1" t="s">
        <v>1</v>
      </c>
      <c r="I592" s="2">
        <v>0</v>
      </c>
      <c r="J592" s="1">
        <v>45915.43408564815</v>
      </c>
    </row>
    <row r="593" spans="1:10" x14ac:dyDescent="0.2">
      <c r="A593" s="4" t="s">
        <v>0</v>
      </c>
      <c r="B593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3" s="3" t="str">
        <f>HYPERLINK("https://otsuka-europe-crm.veevavault.com/ui/#object/sent_email__v/VBLZ025E82GNSTP", "SE-000275475")</f>
        <v>SE-000275475</v>
      </c>
      <c r="D593" s="1" t="s">
        <v>1</v>
      </c>
      <c r="E593" s="2">
        <v>0</v>
      </c>
      <c r="F593" s="2">
        <v>0</v>
      </c>
      <c r="G593" s="2">
        <v>0</v>
      </c>
      <c r="H593" s="1" t="s">
        <v>1</v>
      </c>
      <c r="I593" s="2">
        <v>0</v>
      </c>
      <c r="J593" s="1">
        <v>45915.435682870368</v>
      </c>
    </row>
    <row r="594" spans="1:10" x14ac:dyDescent="0.2">
      <c r="A594" s="4" t="s">
        <v>0</v>
      </c>
      <c r="B594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4" s="3" t="str">
        <f>HYPERLINK("https://otsuka-europe-crm.veevavault.com/ui/#object/sent_email__v/VBLZ025E82GNSWH", "SE-000275476")</f>
        <v>SE-000275476</v>
      </c>
      <c r="D594" s="1">
        <v>45915.585960648146</v>
      </c>
      <c r="E594" s="2">
        <v>1</v>
      </c>
      <c r="F594" s="2">
        <v>3</v>
      </c>
      <c r="G594" s="2">
        <v>0</v>
      </c>
      <c r="H594" s="1" t="s">
        <v>1</v>
      </c>
      <c r="I594" s="2">
        <v>0</v>
      </c>
      <c r="J594" s="1">
        <v>45915.43613425926</v>
      </c>
    </row>
    <row r="595" spans="1:10" x14ac:dyDescent="0.2">
      <c r="A595" s="4" t="s">
        <v>0</v>
      </c>
      <c r="B595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5" s="3" t="str">
        <f>HYPERLINK("https://otsuka-europe-crm.veevavault.com/ui/#object/sent_email__v/VBLZ025E82GO0DX", "SE-000275495")</f>
        <v>SE-000275495</v>
      </c>
      <c r="D595" s="1" t="s">
        <v>1</v>
      </c>
      <c r="E595" s="2">
        <v>0</v>
      </c>
      <c r="F595" s="2">
        <v>0</v>
      </c>
      <c r="G595" s="2">
        <v>0</v>
      </c>
      <c r="H595" s="1" t="s">
        <v>1</v>
      </c>
      <c r="I595" s="2">
        <v>0</v>
      </c>
      <c r="J595" s="1">
        <v>45915.476539351854</v>
      </c>
    </row>
    <row r="596" spans="1:10" x14ac:dyDescent="0.2">
      <c r="A596" s="4" t="s">
        <v>0</v>
      </c>
      <c r="B596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6" s="3" t="str">
        <f>HYPERLINK("https://otsuka-europe-crm.veevavault.com/ui/#object/sent_email__v/VBLZ025E82GO0M9", "SE-000275497")</f>
        <v>SE-000275497</v>
      </c>
      <c r="D596" s="1">
        <v>45915.525393518517</v>
      </c>
      <c r="E596" s="2">
        <v>1</v>
      </c>
      <c r="F596" s="2">
        <v>1</v>
      </c>
      <c r="G596" s="2">
        <v>0</v>
      </c>
      <c r="H596" s="1" t="s">
        <v>1</v>
      </c>
      <c r="I596" s="2">
        <v>0</v>
      </c>
      <c r="J596" s="1">
        <v>45915.478020833332</v>
      </c>
    </row>
    <row r="597" spans="1:10" x14ac:dyDescent="0.2">
      <c r="A597" s="4" t="s">
        <v>0</v>
      </c>
      <c r="B597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7" s="3" t="str">
        <f>HYPERLINK("https://otsuka-europe-crm.veevavault.com/ui/#object/sent_email__v/VBLZ025E82GO12X", "SE-000275500")</f>
        <v>SE-000275500</v>
      </c>
      <c r="D597" s="1" t="s">
        <v>1</v>
      </c>
      <c r="E597" s="2">
        <v>0</v>
      </c>
      <c r="F597" s="2">
        <v>0</v>
      </c>
      <c r="G597" s="2">
        <v>0</v>
      </c>
      <c r="H597" s="1" t="s">
        <v>1</v>
      </c>
      <c r="I597" s="2">
        <v>0</v>
      </c>
      <c r="J597" s="1">
        <v>45915.480879629627</v>
      </c>
    </row>
    <row r="598" spans="1:10" x14ac:dyDescent="0.2">
      <c r="A598" s="4" t="s">
        <v>0</v>
      </c>
      <c r="B598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8" s="3" t="str">
        <f>HYPERLINK("https://otsuka-europe-crm.veevavault.com/ui/#object/sent_email__v/VBLZ025E82GO15P", "SE-000275501")</f>
        <v>SE-000275501</v>
      </c>
      <c r="D598" s="1" t="s">
        <v>1</v>
      </c>
      <c r="E598" s="2">
        <v>0</v>
      </c>
      <c r="F598" s="2">
        <v>0</v>
      </c>
      <c r="G598" s="2">
        <v>0</v>
      </c>
      <c r="H598" s="1" t="s">
        <v>1</v>
      </c>
      <c r="I598" s="2">
        <v>0</v>
      </c>
      <c r="J598" s="1">
        <v>45915.48170138889</v>
      </c>
    </row>
    <row r="599" spans="1:10" x14ac:dyDescent="0.2">
      <c r="A599" s="4" t="s">
        <v>0</v>
      </c>
      <c r="B599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599" s="3" t="str">
        <f>HYPERLINK("https://otsuka-europe-crm.veevavault.com/ui/#object/sent_email__v/VBLZ025E82GO18H", "SE-000275502")</f>
        <v>SE-000275502</v>
      </c>
      <c r="D599" s="1">
        <v>45917.37773148148</v>
      </c>
      <c r="E599" s="2">
        <v>1</v>
      </c>
      <c r="F599" s="2">
        <v>4</v>
      </c>
      <c r="G599" s="2">
        <v>0</v>
      </c>
      <c r="H599" s="1" t="s">
        <v>1</v>
      </c>
      <c r="I599" s="2">
        <v>0</v>
      </c>
      <c r="J599" s="1">
        <v>45915.482175925928</v>
      </c>
    </row>
    <row r="600" spans="1:10" x14ac:dyDescent="0.2">
      <c r="A600" s="4" t="s">
        <v>0</v>
      </c>
      <c r="B600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0" s="3" t="str">
        <f>HYPERLINK("https://otsuka-europe-crm.veevavault.com/ui/#object/sent_email__v/VBLZ025E82GO1B9", "SE-000275503")</f>
        <v>SE-000275503</v>
      </c>
      <c r="D600" s="1" t="s">
        <v>1</v>
      </c>
      <c r="E600" s="2">
        <v>0</v>
      </c>
      <c r="F600" s="2">
        <v>0</v>
      </c>
      <c r="G600" s="2">
        <v>0</v>
      </c>
      <c r="H600" s="1" t="s">
        <v>1</v>
      </c>
      <c r="I600" s="2">
        <v>0</v>
      </c>
      <c r="J600" s="1">
        <v>45915.482442129629</v>
      </c>
    </row>
    <row r="601" spans="1:10" x14ac:dyDescent="0.2">
      <c r="A601" s="4" t="s">
        <v>0</v>
      </c>
      <c r="B601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1" s="3" t="str">
        <f>HYPERLINK("https://otsuka-europe-crm.veevavault.com/ui/#object/sent_email__v/VBLZ025E82GO1JL", "SE-000275506")</f>
        <v>SE-000275506</v>
      </c>
      <c r="D601" s="1" t="s">
        <v>1</v>
      </c>
      <c r="E601" s="2">
        <v>0</v>
      </c>
      <c r="F601" s="2">
        <v>0</v>
      </c>
      <c r="G601" s="2">
        <v>0</v>
      </c>
      <c r="H601" s="1" t="s">
        <v>1</v>
      </c>
      <c r="I601" s="2">
        <v>0</v>
      </c>
      <c r="J601" s="1">
        <v>45915.483634259261</v>
      </c>
    </row>
    <row r="602" spans="1:10" x14ac:dyDescent="0.2">
      <c r="A602" s="4" t="s">
        <v>0</v>
      </c>
      <c r="B602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2" s="3" t="str">
        <f>HYPERLINK("https://otsuka-europe-crm.veevavault.com/ui/#object/sent_email__v/VBLZ025E82GO1MD", "SE-000275508")</f>
        <v>SE-000275508</v>
      </c>
      <c r="D602" s="1" t="s">
        <v>1</v>
      </c>
      <c r="E602" s="2">
        <v>0</v>
      </c>
      <c r="F602" s="2">
        <v>0</v>
      </c>
      <c r="G602" s="2">
        <v>0</v>
      </c>
      <c r="H602" s="1" t="s">
        <v>1</v>
      </c>
      <c r="I602" s="2">
        <v>0</v>
      </c>
      <c r="J602" s="1">
        <v>45915.484317129631</v>
      </c>
    </row>
    <row r="603" spans="1:10" x14ac:dyDescent="0.2">
      <c r="A603" s="4" t="s">
        <v>0</v>
      </c>
      <c r="B603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3" s="3" t="str">
        <f>HYPERLINK("https://otsuka-europe-crm.veevavault.com/ui/#object/sent_email__v/VBLZ025E82GO1XH", "SE-000275510")</f>
        <v>SE-000275510</v>
      </c>
      <c r="D603" s="1" t="s">
        <v>1</v>
      </c>
      <c r="E603" s="2">
        <v>0</v>
      </c>
      <c r="F603" s="2">
        <v>0</v>
      </c>
      <c r="G603" s="2">
        <v>0</v>
      </c>
      <c r="H603" s="1" t="s">
        <v>1</v>
      </c>
      <c r="I603" s="2">
        <v>0</v>
      </c>
      <c r="J603" s="1">
        <v>45915.484988425924</v>
      </c>
    </row>
    <row r="604" spans="1:10" x14ac:dyDescent="0.2">
      <c r="A604" s="4" t="s">
        <v>0</v>
      </c>
      <c r="B604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4" s="3" t="str">
        <f>HYPERLINK("https://otsuka-europe-crm.veevavault.com/ui/#object/sent_email__v/VBLZ025E82GNZ5I", "SE-000275511")</f>
        <v>SE-000275511</v>
      </c>
      <c r="D604" s="1" t="s">
        <v>1</v>
      </c>
      <c r="E604" s="2">
        <v>0</v>
      </c>
      <c r="F604" s="2">
        <v>0</v>
      </c>
      <c r="G604" s="2">
        <v>0</v>
      </c>
      <c r="H604" s="1" t="s">
        <v>1</v>
      </c>
      <c r="I604" s="2">
        <v>0</v>
      </c>
      <c r="J604" s="1">
        <v>45915.490636574075</v>
      </c>
    </row>
    <row r="605" spans="1:10" x14ac:dyDescent="0.2">
      <c r="A605" s="4" t="s">
        <v>0</v>
      </c>
      <c r="B605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5" s="3" t="str">
        <f>HYPERLINK("https://otsuka-europe-crm.veevavault.com/ui/#object/sent_email__v/VBLZ025E82GO2S1", "SE-000275512")</f>
        <v>SE-000275512</v>
      </c>
      <c r="D605" s="1" t="s">
        <v>1</v>
      </c>
      <c r="E605" s="2">
        <v>0</v>
      </c>
      <c r="F605" s="2">
        <v>0</v>
      </c>
      <c r="G605" s="2">
        <v>0</v>
      </c>
      <c r="H605" s="1" t="s">
        <v>1</v>
      </c>
      <c r="I605" s="2">
        <v>0</v>
      </c>
      <c r="J605" s="1">
        <v>45915.491284722222</v>
      </c>
    </row>
    <row r="606" spans="1:10" x14ac:dyDescent="0.2">
      <c r="A606" s="4" t="s">
        <v>0</v>
      </c>
      <c r="B606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6" s="3" t="str">
        <f>HYPERLINK("https://otsuka-europe-crm.veevavault.com/ui/#object/sent_email__v/VBLZ025E82GO335", "SE-000275514")</f>
        <v>SE-000275514</v>
      </c>
      <c r="D606" s="1">
        <v>45915.501712962963</v>
      </c>
      <c r="E606" s="2">
        <v>1</v>
      </c>
      <c r="F606" s="2">
        <v>1</v>
      </c>
      <c r="G606" s="2">
        <v>0</v>
      </c>
      <c r="H606" s="1" t="s">
        <v>1</v>
      </c>
      <c r="I606" s="2">
        <v>0</v>
      </c>
      <c r="J606" s="1">
        <v>45915.495219907411</v>
      </c>
    </row>
    <row r="607" spans="1:10" x14ac:dyDescent="0.2">
      <c r="A607" s="4" t="s">
        <v>0</v>
      </c>
      <c r="B607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7" s="3" t="str">
        <f>HYPERLINK("https://otsuka-europe-crm.veevavault.com/ui/#object/sent_email__v/VBLZ025E82GO3UX", "SE-000275520")</f>
        <v>SE-000275520</v>
      </c>
      <c r="D607" s="1">
        <v>45916.378750000003</v>
      </c>
      <c r="E607" s="2">
        <v>1</v>
      </c>
      <c r="F607" s="2">
        <v>1</v>
      </c>
      <c r="G607" s="2">
        <v>0</v>
      </c>
      <c r="H607" s="1" t="s">
        <v>1</v>
      </c>
      <c r="I607" s="2">
        <v>0</v>
      </c>
      <c r="J607" s="1">
        <v>45915.50172453704</v>
      </c>
    </row>
    <row r="608" spans="1:10" x14ac:dyDescent="0.2">
      <c r="A608" s="4" t="s">
        <v>0</v>
      </c>
      <c r="B608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8" s="3" t="str">
        <f>HYPERLINK("https://otsuka-europe-crm.veevavault.com/ui/#object/sent_email__v/VBLZ025E82GO439", "SE-000275523")</f>
        <v>SE-000275523</v>
      </c>
      <c r="D608" s="1" t="s">
        <v>1</v>
      </c>
      <c r="E608" s="2">
        <v>0</v>
      </c>
      <c r="F608" s="2">
        <v>0</v>
      </c>
      <c r="G608" s="2">
        <v>0</v>
      </c>
      <c r="H608" s="1" t="s">
        <v>1</v>
      </c>
      <c r="I608" s="2">
        <v>0</v>
      </c>
      <c r="J608" s="1">
        <v>45915.502546296295</v>
      </c>
    </row>
    <row r="609" spans="1:10" x14ac:dyDescent="0.2">
      <c r="A609" s="4" t="s">
        <v>0</v>
      </c>
      <c r="B609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09" s="3" t="str">
        <f>HYPERLINK("https://otsuka-europe-crm.veevavault.com/ui/#object/sent_email__v/VBLZ025E82GO48T", "SE-000275524")</f>
        <v>SE-000275524</v>
      </c>
      <c r="D609" s="1" t="s">
        <v>1</v>
      </c>
      <c r="E609" s="2">
        <v>0</v>
      </c>
      <c r="F609" s="2">
        <v>0</v>
      </c>
      <c r="G609" s="2">
        <v>0</v>
      </c>
      <c r="H609" s="1" t="s">
        <v>1</v>
      </c>
      <c r="I609" s="2">
        <v>0</v>
      </c>
      <c r="J609" s="1">
        <v>45915.503969907404</v>
      </c>
    </row>
    <row r="610" spans="1:10" x14ac:dyDescent="0.2">
      <c r="A610" s="4" t="s">
        <v>0</v>
      </c>
      <c r="B610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0" s="3" t="str">
        <f>HYPERLINK("https://otsuka-europe-crm.veevavault.com/ui/#object/sent_email__v/VBLZ025E82GO4BL", "SE-000275525")</f>
        <v>SE-000275525</v>
      </c>
      <c r="D610" s="1" t="s">
        <v>1</v>
      </c>
      <c r="E610" s="2">
        <v>0</v>
      </c>
      <c r="F610" s="2">
        <v>0</v>
      </c>
      <c r="G610" s="2">
        <v>0</v>
      </c>
      <c r="H610" s="1" t="s">
        <v>1</v>
      </c>
      <c r="I610" s="2">
        <v>0</v>
      </c>
      <c r="J610" s="1">
        <v>45915.504351851851</v>
      </c>
    </row>
    <row r="611" spans="1:10" x14ac:dyDescent="0.2">
      <c r="A611" s="4" t="s">
        <v>0</v>
      </c>
      <c r="B611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1" s="3" t="str">
        <f>HYPERLINK("https://otsuka-europe-crm.veevavault.com/ui/#object/sent_email__v/VBLZ025E82GO4JX", "SE-000275526")</f>
        <v>SE-000275526</v>
      </c>
      <c r="D611" s="1" t="s">
        <v>1</v>
      </c>
      <c r="E611" s="2">
        <v>0</v>
      </c>
      <c r="F611" s="2">
        <v>0</v>
      </c>
      <c r="G611" s="2">
        <v>0</v>
      </c>
      <c r="H611" s="1" t="s">
        <v>1</v>
      </c>
      <c r="I611" s="2">
        <v>0</v>
      </c>
      <c r="J611" s="1">
        <v>45915.504675925928</v>
      </c>
    </row>
    <row r="612" spans="1:10" x14ac:dyDescent="0.2">
      <c r="A612" s="4" t="s">
        <v>0</v>
      </c>
      <c r="B612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2" s="3" t="str">
        <f>HYPERLINK("https://otsuka-europe-crm.veevavault.com/ui/#object/sent_email__v/VBLZ025E82GO4PH", "SE-000275528")</f>
        <v>SE-000275528</v>
      </c>
      <c r="D612" s="1" t="s">
        <v>1</v>
      </c>
      <c r="E612" s="2">
        <v>0</v>
      </c>
      <c r="F612" s="2">
        <v>0</v>
      </c>
      <c r="G612" s="2">
        <v>0</v>
      </c>
      <c r="H612" s="1" t="s">
        <v>1</v>
      </c>
      <c r="I612" s="2">
        <v>0</v>
      </c>
      <c r="J612" s="1">
        <v>45915.50576388889</v>
      </c>
    </row>
    <row r="613" spans="1:10" x14ac:dyDescent="0.2">
      <c r="A613" s="4" t="s">
        <v>0</v>
      </c>
      <c r="B613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3" s="3" t="str">
        <f>HYPERLINK("https://otsuka-europe-crm.veevavault.com/ui/#object/sent_email__v/VBLZ025E82GO4S9", "SE-000275529")</f>
        <v>SE-000275529</v>
      </c>
      <c r="D613" s="1" t="s">
        <v>1</v>
      </c>
      <c r="E613" s="2">
        <v>0</v>
      </c>
      <c r="F613" s="2">
        <v>0</v>
      </c>
      <c r="G613" s="2">
        <v>0</v>
      </c>
      <c r="H613" s="1" t="s">
        <v>1</v>
      </c>
      <c r="I613" s="2">
        <v>0</v>
      </c>
      <c r="J613" s="1">
        <v>45915.506076388891</v>
      </c>
    </row>
    <row r="614" spans="1:10" x14ac:dyDescent="0.2">
      <c r="A614" s="4" t="s">
        <v>0</v>
      </c>
      <c r="B614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4" s="3" t="str">
        <f>HYPERLINK("https://otsuka-europe-crm.veevavault.com/ui/#object/sent_email__v/VBLZ025E82GO4XT", "SE-000275530")</f>
        <v>SE-000275530</v>
      </c>
      <c r="D614" s="1" t="s">
        <v>1</v>
      </c>
      <c r="E614" s="2">
        <v>0</v>
      </c>
      <c r="F614" s="2">
        <v>0</v>
      </c>
      <c r="G614" s="2">
        <v>0</v>
      </c>
      <c r="H614" s="1" t="s">
        <v>1</v>
      </c>
      <c r="I614" s="2">
        <v>0</v>
      </c>
      <c r="J614" s="1">
        <v>45915.506423611114</v>
      </c>
    </row>
    <row r="615" spans="1:10" x14ac:dyDescent="0.2">
      <c r="A615" s="4" t="s">
        <v>0</v>
      </c>
      <c r="B615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5" s="3" t="str">
        <f>HYPERLINK("https://otsuka-europe-crm.veevavault.com/ui/#object/sent_email__v/VBLZ025E82GO50L", "SE-000275531")</f>
        <v>SE-000275531</v>
      </c>
      <c r="D615" s="1" t="s">
        <v>1</v>
      </c>
      <c r="E615" s="2">
        <v>0</v>
      </c>
      <c r="F615" s="2">
        <v>0</v>
      </c>
      <c r="G615" s="2">
        <v>0</v>
      </c>
      <c r="H615" s="1" t="s">
        <v>1</v>
      </c>
      <c r="I615" s="2">
        <v>0</v>
      </c>
      <c r="J615" s="1">
        <v>45915.506747685184</v>
      </c>
    </row>
    <row r="616" spans="1:10" x14ac:dyDescent="0.2">
      <c r="A616" s="4" t="s">
        <v>0</v>
      </c>
      <c r="B616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6" s="3" t="str">
        <f>HYPERLINK("https://otsuka-europe-crm.veevavault.com/ui/#object/sent_email__v/VBLZ025E82GO53D", "SE-000275532")</f>
        <v>SE-000275532</v>
      </c>
      <c r="D616" s="1" t="s">
        <v>1</v>
      </c>
      <c r="E616" s="2">
        <v>0</v>
      </c>
      <c r="F616" s="2">
        <v>0</v>
      </c>
      <c r="G616" s="2">
        <v>0</v>
      </c>
      <c r="H616" s="1" t="s">
        <v>1</v>
      </c>
      <c r="I616" s="2">
        <v>0</v>
      </c>
      <c r="J616" s="1">
        <v>45915.507337962961</v>
      </c>
    </row>
    <row r="617" spans="1:10" x14ac:dyDescent="0.2">
      <c r="A617" s="4" t="s">
        <v>0</v>
      </c>
      <c r="B617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7" s="3" t="str">
        <f>HYPERLINK("https://otsuka-europe-crm.veevavault.com/ui/#object/sent_email__v/VBLZ025E82GO1P6", "SE-000275533")</f>
        <v>SE-000275533</v>
      </c>
      <c r="D617" s="1">
        <v>45918.581631944442</v>
      </c>
      <c r="E617" s="2">
        <v>1</v>
      </c>
      <c r="F617" s="2">
        <v>2</v>
      </c>
      <c r="G617" s="2">
        <v>0</v>
      </c>
      <c r="H617" s="1" t="s">
        <v>1</v>
      </c>
      <c r="I617" s="2">
        <v>0</v>
      </c>
      <c r="J617" s="1">
        <v>45915.5078587963</v>
      </c>
    </row>
    <row r="618" spans="1:10" x14ac:dyDescent="0.2">
      <c r="A618" s="4" t="s">
        <v>0</v>
      </c>
      <c r="B618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8" s="3" t="str">
        <f>HYPERLINK("https://otsuka-europe-crm.veevavault.com/ui/#object/sent_email__v/VBLZ025E82GO58X", "SE-000275534")</f>
        <v>SE-000275534</v>
      </c>
      <c r="D618" s="1" t="s">
        <v>1</v>
      </c>
      <c r="E618" s="2">
        <v>0</v>
      </c>
      <c r="F618" s="2">
        <v>0</v>
      </c>
      <c r="G618" s="2">
        <v>0</v>
      </c>
      <c r="H618" s="1" t="s">
        <v>1</v>
      </c>
      <c r="I618" s="2">
        <v>0</v>
      </c>
      <c r="J618" s="1">
        <v>45915.508194444446</v>
      </c>
    </row>
    <row r="619" spans="1:10" x14ac:dyDescent="0.2">
      <c r="A619" s="4" t="s">
        <v>0</v>
      </c>
      <c r="B619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19" s="3" t="str">
        <f>HYPERLINK("https://otsuka-europe-crm.veevavault.com/ui/#object/sent_email__v/VBLZ025E82GO5EH", "SE-000275535")</f>
        <v>SE-000275535</v>
      </c>
      <c r="D619" s="1" t="s">
        <v>1</v>
      </c>
      <c r="E619" s="2">
        <v>0</v>
      </c>
      <c r="F619" s="2">
        <v>0</v>
      </c>
      <c r="G619" s="2">
        <v>0</v>
      </c>
      <c r="H619" s="1" t="s">
        <v>1</v>
      </c>
      <c r="I619" s="2">
        <v>0</v>
      </c>
      <c r="J619" s="1">
        <v>45915.508726851855</v>
      </c>
    </row>
    <row r="620" spans="1:10" x14ac:dyDescent="0.2">
      <c r="A620" s="4" t="s">
        <v>0</v>
      </c>
      <c r="B620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0" s="3" t="str">
        <f>HYPERLINK("https://otsuka-europe-crm.veevavault.com/ui/#object/sent_email__v/VBLZ025E82GO5H9", "SE-000275536")</f>
        <v>SE-000275536</v>
      </c>
      <c r="D620" s="1" t="s">
        <v>1</v>
      </c>
      <c r="E620" s="2">
        <v>0</v>
      </c>
      <c r="F620" s="2">
        <v>0</v>
      </c>
      <c r="G620" s="2">
        <v>0</v>
      </c>
      <c r="H620" s="1" t="s">
        <v>1</v>
      </c>
      <c r="I620" s="2">
        <v>0</v>
      </c>
      <c r="J620" s="1">
        <v>45915.509074074071</v>
      </c>
    </row>
    <row r="621" spans="1:10" x14ac:dyDescent="0.2">
      <c r="A621" s="4" t="s">
        <v>0</v>
      </c>
      <c r="B621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1" s="3" t="str">
        <f>HYPERLINK("https://otsuka-europe-crm.veevavault.com/ui/#object/sent_email__v/VBLZ025E82GO5K1", "SE-000275537")</f>
        <v>SE-000275537</v>
      </c>
      <c r="D621" s="1" t="s">
        <v>1</v>
      </c>
      <c r="E621" s="2">
        <v>0</v>
      </c>
      <c r="F621" s="2">
        <v>0</v>
      </c>
      <c r="G621" s="2">
        <v>0</v>
      </c>
      <c r="H621" s="1" t="s">
        <v>1</v>
      </c>
      <c r="I621" s="2">
        <v>0</v>
      </c>
      <c r="J621" s="1">
        <v>45915.509421296294</v>
      </c>
    </row>
    <row r="622" spans="1:10" x14ac:dyDescent="0.2">
      <c r="A622" s="4" t="s">
        <v>0</v>
      </c>
      <c r="B622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2" s="3" t="str">
        <f>HYPERLINK("https://otsuka-europe-crm.veevavault.com/ui/#object/sent_email__v/VBLZ025E82GO5V5", "SE-000275541")</f>
        <v>SE-000275541</v>
      </c>
      <c r="D622" s="1" t="s">
        <v>1</v>
      </c>
      <c r="E622" s="2">
        <v>0</v>
      </c>
      <c r="F622" s="2">
        <v>0</v>
      </c>
      <c r="G622" s="2">
        <v>0</v>
      </c>
      <c r="H622" s="1" t="s">
        <v>1</v>
      </c>
      <c r="I622" s="2">
        <v>0</v>
      </c>
      <c r="J622" s="1">
        <v>45915.511435185188</v>
      </c>
    </row>
    <row r="623" spans="1:10" x14ac:dyDescent="0.2">
      <c r="A623" s="4" t="s">
        <v>0</v>
      </c>
      <c r="B623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3" s="3" t="str">
        <f>HYPERLINK("https://otsuka-europe-crm.veevavault.com/ui/#object/sent_email__v/VBLZ025E82GO60P", "SE-000275542")</f>
        <v>SE-000275542</v>
      </c>
      <c r="D623" s="1" t="s">
        <v>1</v>
      </c>
      <c r="E623" s="2">
        <v>0</v>
      </c>
      <c r="F623" s="2">
        <v>0</v>
      </c>
      <c r="G623" s="2">
        <v>0</v>
      </c>
      <c r="H623" s="1" t="s">
        <v>1</v>
      </c>
      <c r="I623" s="2">
        <v>0</v>
      </c>
      <c r="J623" s="1">
        <v>45915.512083333335</v>
      </c>
    </row>
    <row r="624" spans="1:10" x14ac:dyDescent="0.2">
      <c r="A624" s="4" t="s">
        <v>0</v>
      </c>
      <c r="B624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4" s="3" t="str">
        <f>HYPERLINK("https://otsuka-europe-crm.veevavault.com/ui/#object/sent_email__v/VBLZ025E82GO6BT", "SE-000275547")</f>
        <v>SE-000275547</v>
      </c>
      <c r="D624" s="1">
        <v>45915.622604166667</v>
      </c>
      <c r="E624" s="2">
        <v>1</v>
      </c>
      <c r="F624" s="2">
        <v>1</v>
      </c>
      <c r="G624" s="2">
        <v>0</v>
      </c>
      <c r="H624" s="1" t="s">
        <v>1</v>
      </c>
      <c r="I624" s="2">
        <v>0</v>
      </c>
      <c r="J624" s="1">
        <v>45915.512662037036</v>
      </c>
    </row>
    <row r="625" spans="1:10" x14ac:dyDescent="0.2">
      <c r="A625" s="4" t="s">
        <v>0</v>
      </c>
      <c r="B625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5" s="3" t="str">
        <f>HYPERLINK("https://otsuka-europe-crm.veevavault.com/ui/#object/sent_email__v/VBLZ025E82GO6K5", "SE-000275548")</f>
        <v>SE-000275548</v>
      </c>
      <c r="D625" s="1" t="s">
        <v>1</v>
      </c>
      <c r="E625" s="2">
        <v>0</v>
      </c>
      <c r="F625" s="2">
        <v>0</v>
      </c>
      <c r="G625" s="2">
        <v>0</v>
      </c>
      <c r="H625" s="1" t="s">
        <v>1</v>
      </c>
      <c r="I625" s="2">
        <v>0</v>
      </c>
      <c r="J625" s="1">
        <v>45915.512997685182</v>
      </c>
    </row>
    <row r="626" spans="1:10" x14ac:dyDescent="0.2">
      <c r="A626" s="4" t="s">
        <v>0</v>
      </c>
      <c r="B626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6" s="3" t="str">
        <f>HYPERLINK("https://otsuka-europe-crm.veevavault.com/ui/#object/sent_email__v/VBLZ025E82GO6SH", "SE-000275552")</f>
        <v>SE-000275552</v>
      </c>
      <c r="D626" s="1" t="s">
        <v>1</v>
      </c>
      <c r="E626" s="2">
        <v>0</v>
      </c>
      <c r="F626" s="2">
        <v>0</v>
      </c>
      <c r="G626" s="2">
        <v>0</v>
      </c>
      <c r="H626" s="1" t="s">
        <v>1</v>
      </c>
      <c r="I626" s="2">
        <v>0</v>
      </c>
      <c r="J626" s="1">
        <v>45915.51357638889</v>
      </c>
    </row>
    <row r="627" spans="1:10" x14ac:dyDescent="0.2">
      <c r="A627" s="4" t="s">
        <v>0</v>
      </c>
      <c r="B627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7" s="3" t="str">
        <f>HYPERLINK("https://otsuka-europe-crm.veevavault.com/ui/#object/sent_email__v/VBLZ025E82GO3UY", "SE-000275555")</f>
        <v>SE-000275555</v>
      </c>
      <c r="D627" s="1" t="s">
        <v>1</v>
      </c>
      <c r="E627" s="2">
        <v>0</v>
      </c>
      <c r="F627" s="2">
        <v>0</v>
      </c>
      <c r="G627" s="2">
        <v>0</v>
      </c>
      <c r="H627" s="1" t="s">
        <v>1</v>
      </c>
      <c r="I627" s="2">
        <v>0</v>
      </c>
      <c r="J627" s="1">
        <v>45915.514062499999</v>
      </c>
    </row>
    <row r="628" spans="1:10" x14ac:dyDescent="0.2">
      <c r="A628" s="4" t="s">
        <v>0</v>
      </c>
      <c r="B628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8" s="3" t="str">
        <f>HYPERLINK("https://otsuka-europe-crm.veevavault.com/ui/#object/sent_email__v/VBLZ025E82GO7BX", "SE-000275559")</f>
        <v>SE-000275559</v>
      </c>
      <c r="D628" s="1" t="s">
        <v>1</v>
      </c>
      <c r="E628" s="2">
        <v>0</v>
      </c>
      <c r="F628" s="2">
        <v>0</v>
      </c>
      <c r="G628" s="2">
        <v>0</v>
      </c>
      <c r="H628" s="1" t="s">
        <v>1</v>
      </c>
      <c r="I628" s="2">
        <v>0</v>
      </c>
      <c r="J628" s="1">
        <v>45915.514768518522</v>
      </c>
    </row>
    <row r="629" spans="1:10" x14ac:dyDescent="0.2">
      <c r="A629" s="4" t="s">
        <v>0</v>
      </c>
      <c r="B629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29" s="3" t="str">
        <f>HYPERLINK("https://otsuka-europe-crm.veevavault.com/ui/#object/sent_email__v/VBLZ025E82GO8N5", "SE-000275569")</f>
        <v>SE-000275569</v>
      </c>
      <c r="D629" s="1" t="s">
        <v>1</v>
      </c>
      <c r="E629" s="2">
        <v>0</v>
      </c>
      <c r="F629" s="2">
        <v>0</v>
      </c>
      <c r="G629" s="2">
        <v>0</v>
      </c>
      <c r="H629" s="1" t="s">
        <v>1</v>
      </c>
      <c r="I629" s="2">
        <v>0</v>
      </c>
      <c r="J629" s="1">
        <v>45915.517685185187</v>
      </c>
    </row>
    <row r="630" spans="1:10" x14ac:dyDescent="0.2">
      <c r="A630" s="4" t="s">
        <v>0</v>
      </c>
      <c r="B630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0" s="3" t="str">
        <f>HYPERLINK("https://otsuka-europe-crm.veevavault.com/ui/#object/sent_email__v/VBLZ025E82GO9C5", "SE-000275575")</f>
        <v>SE-000275575</v>
      </c>
      <c r="D630" s="1" t="s">
        <v>1</v>
      </c>
      <c r="E630" s="2">
        <v>0</v>
      </c>
      <c r="F630" s="2">
        <v>0</v>
      </c>
      <c r="G630" s="2">
        <v>0</v>
      </c>
      <c r="H630" s="1" t="s">
        <v>1</v>
      </c>
      <c r="I630" s="2">
        <v>0</v>
      </c>
      <c r="J630" s="1">
        <v>45915.520624999997</v>
      </c>
    </row>
    <row r="631" spans="1:10" x14ac:dyDescent="0.2">
      <c r="A631" s="4" t="s">
        <v>0</v>
      </c>
      <c r="B631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1" s="3" t="str">
        <f>HYPERLINK("https://otsuka-europe-crm.veevavault.com/ui/#object/sent_email__v/VBLZ025E82GO9EX", "SE-000275576")</f>
        <v>SE-000275576</v>
      </c>
      <c r="D631" s="1" t="s">
        <v>1</v>
      </c>
      <c r="E631" s="2">
        <v>0</v>
      </c>
      <c r="F631" s="2">
        <v>0</v>
      </c>
      <c r="G631" s="2">
        <v>0</v>
      </c>
      <c r="H631" s="1" t="s">
        <v>1</v>
      </c>
      <c r="I631" s="2">
        <v>0</v>
      </c>
      <c r="J631" s="1">
        <v>45915.521122685182</v>
      </c>
    </row>
    <row r="632" spans="1:10" x14ac:dyDescent="0.2">
      <c r="A632" s="4" t="s">
        <v>0</v>
      </c>
      <c r="B632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2" s="3" t="str">
        <f>HYPERLINK("https://otsuka-europe-crm.veevavault.com/ui/#object/sent_email__v/VBLZ025E82GO9HP", "SE-000275577")</f>
        <v>SE-000275577</v>
      </c>
      <c r="D632" s="1" t="s">
        <v>1</v>
      </c>
      <c r="E632" s="2">
        <v>0</v>
      </c>
      <c r="F632" s="2">
        <v>0</v>
      </c>
      <c r="G632" s="2">
        <v>0</v>
      </c>
      <c r="H632" s="1" t="s">
        <v>1</v>
      </c>
      <c r="I632" s="2">
        <v>0</v>
      </c>
      <c r="J632" s="1">
        <v>45915.521458333336</v>
      </c>
    </row>
    <row r="633" spans="1:10" x14ac:dyDescent="0.2">
      <c r="A633" s="4" t="s">
        <v>0</v>
      </c>
      <c r="B633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3" s="3" t="str">
        <f>HYPERLINK("https://otsuka-europe-crm.veevavault.com/ui/#object/sent_email__v/VBLZ025E82GO9KH", "SE-000275578")</f>
        <v>SE-000275578</v>
      </c>
      <c r="D633" s="1" t="s">
        <v>1</v>
      </c>
      <c r="E633" s="2">
        <v>0</v>
      </c>
      <c r="F633" s="2">
        <v>0</v>
      </c>
      <c r="G633" s="2">
        <v>0</v>
      </c>
      <c r="H633" s="1" t="s">
        <v>1</v>
      </c>
      <c r="I633" s="2">
        <v>0</v>
      </c>
      <c r="J633" s="1">
        <v>45915.521898148145</v>
      </c>
    </row>
    <row r="634" spans="1:10" x14ac:dyDescent="0.2">
      <c r="A634" s="4" t="s">
        <v>0</v>
      </c>
      <c r="B634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4" s="3" t="str">
        <f>HYPERLINK("https://otsuka-europe-crm.veevavault.com/ui/#object/sent_email__v/VBLZ025E82GO8PY", "SE-000275580")</f>
        <v>SE-000275580</v>
      </c>
      <c r="D634" s="1" t="s">
        <v>1</v>
      </c>
      <c r="E634" s="2">
        <v>0</v>
      </c>
      <c r="F634" s="2">
        <v>0</v>
      </c>
      <c r="G634" s="2">
        <v>0</v>
      </c>
      <c r="H634" s="1" t="s">
        <v>1</v>
      </c>
      <c r="I634" s="2">
        <v>0</v>
      </c>
      <c r="J634" s="1">
        <v>45915.523148148146</v>
      </c>
    </row>
    <row r="635" spans="1:10" x14ac:dyDescent="0.2">
      <c r="A635" s="4" t="s">
        <v>0</v>
      </c>
      <c r="B635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5" s="3" t="str">
        <f>HYPERLINK("https://otsuka-europe-crm.veevavault.com/ui/#object/sent_email__v/VBLZ025E82GO9VL", "SE-000275581")</f>
        <v>SE-000275581</v>
      </c>
      <c r="D635" s="1" t="s">
        <v>1</v>
      </c>
      <c r="E635" s="2">
        <v>0</v>
      </c>
      <c r="F635" s="2">
        <v>0</v>
      </c>
      <c r="G635" s="2">
        <v>0</v>
      </c>
      <c r="H635" s="1" t="s">
        <v>1</v>
      </c>
      <c r="I635" s="2">
        <v>0</v>
      </c>
      <c r="J635" s="1">
        <v>45915.525347222225</v>
      </c>
    </row>
    <row r="636" spans="1:10" x14ac:dyDescent="0.2">
      <c r="A636" s="4" t="s">
        <v>0</v>
      </c>
      <c r="B636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6" s="3" t="str">
        <f>HYPERLINK("https://otsuka-europe-crm.veevavault.com/ui/#object/sent_email__v/VBLZ025E82GOAC9", "SE-000275582")</f>
        <v>SE-000275582</v>
      </c>
      <c r="D636" s="1" t="s">
        <v>1</v>
      </c>
      <c r="E636" s="2">
        <v>0</v>
      </c>
      <c r="F636" s="2">
        <v>0</v>
      </c>
      <c r="G636" s="2">
        <v>0</v>
      </c>
      <c r="H636" s="1" t="s">
        <v>1</v>
      </c>
      <c r="I636" s="2">
        <v>0</v>
      </c>
      <c r="J636" s="1">
        <v>45915.532013888886</v>
      </c>
    </row>
    <row r="637" spans="1:10" x14ac:dyDescent="0.2">
      <c r="A637" s="4" t="s">
        <v>0</v>
      </c>
      <c r="B637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7" s="3" t="str">
        <f>HYPERLINK("https://otsuka-europe-crm.veevavault.com/ui/#object/sent_email__v/VBLZ025E82GOAHT", "SE-000275583")</f>
        <v>SE-000275583</v>
      </c>
      <c r="D637" s="1">
        <v>45915.535624999997</v>
      </c>
      <c r="E637" s="2">
        <v>1</v>
      </c>
      <c r="F637" s="2">
        <v>1</v>
      </c>
      <c r="G637" s="2">
        <v>0</v>
      </c>
      <c r="H637" s="1" t="s">
        <v>1</v>
      </c>
      <c r="I637" s="2">
        <v>0</v>
      </c>
      <c r="J637" s="1">
        <v>45915.532673611109</v>
      </c>
    </row>
    <row r="638" spans="1:10" x14ac:dyDescent="0.2">
      <c r="A638" s="4" t="s">
        <v>0</v>
      </c>
      <c r="B638" s="3" t="str">
        <f>HYPERLINK("https://otsuka-europe-crm.veevavault.com/ui/#object/approved_document__v/V5OZ025E82TL7RH", "VAE AT - Save the Date LN Webinar OPEL Nov 2025 (Nephrologie)")</f>
        <v>VAE AT - Save the Date LN Webinar OPEL Nov 2025 (Nephrologie)</v>
      </c>
      <c r="C638" s="3" t="str">
        <f>HYPERLINK("https://otsuka-europe-crm.veevavault.com/ui/#object/sent_email__v/VBLZ025E82GVVC1", "SE-000279486")</f>
        <v>SE-000279486</v>
      </c>
      <c r="D638" s="1" t="s">
        <v>1</v>
      </c>
      <c r="E638" s="2">
        <v>0</v>
      </c>
      <c r="F638" s="2">
        <v>0</v>
      </c>
      <c r="G638" s="2">
        <v>0</v>
      </c>
      <c r="H638" s="1" t="s">
        <v>1</v>
      </c>
      <c r="I638" s="2">
        <v>0</v>
      </c>
      <c r="J638" s="1">
        <v>45922.4762962963</v>
      </c>
    </row>
    <row r="639" spans="1:10" x14ac:dyDescent="0.2">
      <c r="A639" s="4" t="s">
        <v>0</v>
      </c>
      <c r="B639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39" s="3" t="str">
        <f>HYPERLINK("https://otsuka-europe-crm.veevavault.com/ui/#object/sent_email__v/VBLZ025E82GNM41", "SE-000272812")</f>
        <v>SE-000272812</v>
      </c>
      <c r="D639" s="1" t="s">
        <v>1</v>
      </c>
      <c r="E639" s="2">
        <v>0</v>
      </c>
      <c r="F639" s="2">
        <v>0</v>
      </c>
      <c r="G639" s="2">
        <v>0</v>
      </c>
      <c r="H639" s="1" t="s">
        <v>1</v>
      </c>
      <c r="I639" s="2">
        <v>0</v>
      </c>
      <c r="J639" s="1">
        <v>45915.414768518516</v>
      </c>
    </row>
    <row r="640" spans="1:10" x14ac:dyDescent="0.2">
      <c r="A640" s="4" t="s">
        <v>0</v>
      </c>
      <c r="B640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0" s="3" t="str">
        <f>HYPERLINK("https://otsuka-europe-crm.veevavault.com/ui/#object/sent_email__v/VBLZ025E82GNMF5", "SE-000272813")</f>
        <v>SE-000272813</v>
      </c>
      <c r="D640" s="1">
        <v>45929.768726851849</v>
      </c>
      <c r="E640" s="2">
        <v>1</v>
      </c>
      <c r="F640" s="2">
        <v>2</v>
      </c>
      <c r="G640" s="2">
        <v>0</v>
      </c>
      <c r="H640" s="1" t="s">
        <v>1</v>
      </c>
      <c r="I640" s="2">
        <v>0</v>
      </c>
      <c r="J640" s="1">
        <v>45915.415138888886</v>
      </c>
    </row>
    <row r="641" spans="1:10" x14ac:dyDescent="0.2">
      <c r="A641" s="4" t="s">
        <v>0</v>
      </c>
      <c r="B641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1" s="3" t="str">
        <f>HYPERLINK("https://otsuka-europe-crm.veevavault.com/ui/#object/sent_email__v/VBLZ025E82GNJ3Q", "SE-000272814")</f>
        <v>SE-000272814</v>
      </c>
      <c r="D641" s="1" t="s">
        <v>1</v>
      </c>
      <c r="E641" s="2">
        <v>0</v>
      </c>
      <c r="F641" s="2">
        <v>0</v>
      </c>
      <c r="G641" s="2">
        <v>0</v>
      </c>
      <c r="H641" s="1" t="s">
        <v>1</v>
      </c>
      <c r="I641" s="2">
        <v>0</v>
      </c>
      <c r="J641" s="1">
        <v>45915.415486111109</v>
      </c>
    </row>
    <row r="642" spans="1:10" x14ac:dyDescent="0.2">
      <c r="A642" s="4" t="s">
        <v>0</v>
      </c>
      <c r="B642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2" s="3" t="str">
        <f>HYPERLINK("https://otsuka-europe-crm.veevavault.com/ui/#object/sent_email__v/VBLZ025E82GNKHQ", "SE-000272819")</f>
        <v>SE-000272819</v>
      </c>
      <c r="D642" s="1" t="s">
        <v>1</v>
      </c>
      <c r="E642" s="2">
        <v>0</v>
      </c>
      <c r="F642" s="2">
        <v>0</v>
      </c>
      <c r="G642" s="2">
        <v>0</v>
      </c>
      <c r="H642" s="1" t="s">
        <v>1</v>
      </c>
      <c r="I642" s="2">
        <v>0</v>
      </c>
      <c r="J642" s="1">
        <v>45915.417500000003</v>
      </c>
    </row>
    <row r="643" spans="1:10" x14ac:dyDescent="0.2">
      <c r="A643" s="4" t="s">
        <v>0</v>
      </c>
      <c r="B643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3" s="3" t="str">
        <f>HYPERLINK("https://otsuka-europe-crm.veevavault.com/ui/#object/sent_email__v/VBLZ025E82GNNKT", "SE-000272823")</f>
        <v>SE-000272823</v>
      </c>
      <c r="D643" s="1">
        <v>45921.966412037036</v>
      </c>
      <c r="E643" s="2">
        <v>1</v>
      </c>
      <c r="F643" s="2">
        <v>2</v>
      </c>
      <c r="G643" s="2">
        <v>0</v>
      </c>
      <c r="H643" s="1" t="s">
        <v>1</v>
      </c>
      <c r="I643" s="2">
        <v>0</v>
      </c>
      <c r="J643" s="1">
        <v>45915.419027777774</v>
      </c>
    </row>
    <row r="644" spans="1:10" x14ac:dyDescent="0.2">
      <c r="A644" s="4" t="s">
        <v>0</v>
      </c>
      <c r="B644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4" s="3" t="str">
        <f>HYPERLINK("https://otsuka-europe-crm.veevavault.com/ui/#object/sent_email__v/VBLZ025E82GNRL9", "SE-000275464")</f>
        <v>SE-000275464</v>
      </c>
      <c r="D644" s="1" t="s">
        <v>1</v>
      </c>
      <c r="E644" s="2">
        <v>0</v>
      </c>
      <c r="F644" s="2">
        <v>0</v>
      </c>
      <c r="G644" s="2">
        <v>0</v>
      </c>
      <c r="H644" s="1" t="s">
        <v>1</v>
      </c>
      <c r="I644" s="2">
        <v>0</v>
      </c>
      <c r="J644" s="1">
        <v>45915.431921296295</v>
      </c>
    </row>
    <row r="645" spans="1:10" x14ac:dyDescent="0.2">
      <c r="A645" s="4" t="s">
        <v>0</v>
      </c>
      <c r="B645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5" s="3" t="str">
        <f>HYPERLINK("https://otsuka-europe-crm.veevavault.com/ui/#object/sent_email__v/VBLZ025E82GNRQT", "SE-000275465")</f>
        <v>SE-000275465</v>
      </c>
      <c r="D645" s="1" t="s">
        <v>1</v>
      </c>
      <c r="E645" s="2">
        <v>0</v>
      </c>
      <c r="F645" s="2">
        <v>0</v>
      </c>
      <c r="G645" s="2">
        <v>0</v>
      </c>
      <c r="H645" s="1" t="s">
        <v>1</v>
      </c>
      <c r="I645" s="2">
        <v>0</v>
      </c>
      <c r="J645" s="1">
        <v>45915.432523148149</v>
      </c>
    </row>
    <row r="646" spans="1:10" x14ac:dyDescent="0.2">
      <c r="A646" s="4" t="s">
        <v>0</v>
      </c>
      <c r="B646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6" s="3" t="str">
        <f>HYPERLINK("https://otsuka-europe-crm.veevavault.com/ui/#object/sent_email__v/VBLZ025E82GNSIL", "SE-000275473")</f>
        <v>SE-000275473</v>
      </c>
      <c r="D646" s="1" t="s">
        <v>1</v>
      </c>
      <c r="E646" s="2">
        <v>0</v>
      </c>
      <c r="F646" s="2">
        <v>0</v>
      </c>
      <c r="G646" s="2">
        <v>0</v>
      </c>
      <c r="H646" s="1" t="s">
        <v>1</v>
      </c>
      <c r="I646" s="2">
        <v>0</v>
      </c>
      <c r="J646" s="1">
        <v>45915.434513888889</v>
      </c>
    </row>
    <row r="647" spans="1:10" x14ac:dyDescent="0.2">
      <c r="A647" s="4" t="s">
        <v>0</v>
      </c>
      <c r="B647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7" s="3" t="str">
        <f>HYPERLINK("https://otsuka-europe-crm.veevavault.com/ui/#object/sent_email__v/VBLZ025E82GNSQX", "SE-000275474")</f>
        <v>SE-000275474</v>
      </c>
      <c r="D647" s="1" t="s">
        <v>1</v>
      </c>
      <c r="E647" s="2">
        <v>0</v>
      </c>
      <c r="F647" s="2">
        <v>0</v>
      </c>
      <c r="G647" s="2">
        <v>0</v>
      </c>
      <c r="H647" s="1" t="s">
        <v>1</v>
      </c>
      <c r="I647" s="2">
        <v>0</v>
      </c>
      <c r="J647" s="1">
        <v>45915.435370370367</v>
      </c>
    </row>
    <row r="648" spans="1:10" x14ac:dyDescent="0.2">
      <c r="A648" s="4" t="s">
        <v>0</v>
      </c>
      <c r="B648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8" s="3" t="str">
        <f>HYPERLINK("https://otsuka-europe-crm.veevavault.com/ui/#object/sent_email__v/VBLZ025E82GO0GP", "SE-000275496")</f>
        <v>SE-000275496</v>
      </c>
      <c r="D648" s="1">
        <v>45916.265243055554</v>
      </c>
      <c r="E648" s="2">
        <v>1</v>
      </c>
      <c r="F648" s="2">
        <v>4</v>
      </c>
      <c r="G648" s="2">
        <v>0</v>
      </c>
      <c r="H648" s="1" t="s">
        <v>1</v>
      </c>
      <c r="I648" s="2">
        <v>0</v>
      </c>
      <c r="J648" s="1">
        <v>45915.477523148147</v>
      </c>
    </row>
    <row r="649" spans="1:10" x14ac:dyDescent="0.2">
      <c r="A649" s="4" t="s">
        <v>0</v>
      </c>
      <c r="B649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49" s="3" t="str">
        <f>HYPERLINK("https://otsuka-europe-crm.veevavault.com/ui/#object/sent_email__v/VBLZ025E82GO0RT", "SE-000275498")</f>
        <v>SE-000275498</v>
      </c>
      <c r="D649" s="1" t="s">
        <v>1</v>
      </c>
      <c r="E649" s="2">
        <v>0</v>
      </c>
      <c r="F649" s="2">
        <v>0</v>
      </c>
      <c r="G649" s="2">
        <v>0</v>
      </c>
      <c r="H649" s="1" t="s">
        <v>1</v>
      </c>
      <c r="I649" s="2">
        <v>0</v>
      </c>
      <c r="J649" s="1">
        <v>45915.478634259256</v>
      </c>
    </row>
    <row r="650" spans="1:10" x14ac:dyDescent="0.2">
      <c r="A650" s="4" t="s">
        <v>0</v>
      </c>
      <c r="B650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0" s="3" t="str">
        <f>HYPERLINK("https://otsuka-europe-crm.veevavault.com/ui/#object/sent_email__v/VBLZ025E82GO0XD", "SE-000275499")</f>
        <v>SE-000275499</v>
      </c>
      <c r="D650" s="1" t="s">
        <v>1</v>
      </c>
      <c r="E650" s="2">
        <v>0</v>
      </c>
      <c r="F650" s="2">
        <v>0</v>
      </c>
      <c r="G650" s="2">
        <v>0</v>
      </c>
      <c r="H650" s="1" t="s">
        <v>1</v>
      </c>
      <c r="I650" s="2">
        <v>0</v>
      </c>
      <c r="J650" s="1">
        <v>45915.479513888888</v>
      </c>
    </row>
    <row r="651" spans="1:10" x14ac:dyDescent="0.2">
      <c r="A651" s="4" t="s">
        <v>0</v>
      </c>
      <c r="B651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1" s="3" t="str">
        <f>HYPERLINK("https://otsuka-europe-crm.veevavault.com/ui/#object/sent_email__v/VBLZ025E82GO1E1", "SE-000275504")</f>
        <v>SE-000275504</v>
      </c>
      <c r="D651" s="1" t="s">
        <v>1</v>
      </c>
      <c r="E651" s="2">
        <v>0</v>
      </c>
      <c r="F651" s="2">
        <v>0</v>
      </c>
      <c r="G651" s="2">
        <v>0</v>
      </c>
      <c r="H651" s="1" t="s">
        <v>1</v>
      </c>
      <c r="I651" s="2">
        <v>0</v>
      </c>
      <c r="J651" s="1">
        <v>45915.483055555553</v>
      </c>
    </row>
    <row r="652" spans="1:10" x14ac:dyDescent="0.2">
      <c r="A652" s="4" t="s">
        <v>0</v>
      </c>
      <c r="B652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2" s="3" t="str">
        <f>HYPERLINK("https://otsuka-europe-crm.veevavault.com/ui/#object/sent_email__v/VBLZ025E82GO1GT", "SE-000275505")</f>
        <v>SE-000275505</v>
      </c>
      <c r="D652" s="1" t="s">
        <v>1</v>
      </c>
      <c r="E652" s="2">
        <v>0</v>
      </c>
      <c r="F652" s="2">
        <v>0</v>
      </c>
      <c r="G652" s="2">
        <v>0</v>
      </c>
      <c r="H652" s="1" t="s">
        <v>1</v>
      </c>
      <c r="I652" s="2">
        <v>0</v>
      </c>
      <c r="J652" s="1">
        <v>45915.48333333333</v>
      </c>
    </row>
    <row r="653" spans="1:10" x14ac:dyDescent="0.2">
      <c r="A653" s="4" t="s">
        <v>0</v>
      </c>
      <c r="B653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3" s="3" t="str">
        <f>HYPERLINK("https://otsuka-europe-crm.veevavault.com/ui/#object/sent_email__v/VBLZ025E82GO08E", "SE-000275513")</f>
        <v>SE-000275513</v>
      </c>
      <c r="D653" s="1" t="s">
        <v>1</v>
      </c>
      <c r="E653" s="2">
        <v>0</v>
      </c>
      <c r="F653" s="2">
        <v>0</v>
      </c>
      <c r="G653" s="2">
        <v>0</v>
      </c>
      <c r="H653" s="1" t="s">
        <v>1</v>
      </c>
      <c r="I653" s="2">
        <v>0</v>
      </c>
      <c r="J653" s="1">
        <v>45915.491828703707</v>
      </c>
    </row>
    <row r="654" spans="1:10" x14ac:dyDescent="0.2">
      <c r="A654" s="4" t="s">
        <v>0</v>
      </c>
      <c r="B654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4" s="3" t="str">
        <f>HYPERLINK("https://otsuka-europe-crm.veevavault.com/ui/#object/sent_email__v/VBLZ025E82GO3H1", "SE-000275517")</f>
        <v>SE-000275517</v>
      </c>
      <c r="D654" s="1">
        <v>45916.262280092589</v>
      </c>
      <c r="E654" s="2">
        <v>1</v>
      </c>
      <c r="F654" s="2">
        <v>1</v>
      </c>
      <c r="G654" s="2">
        <v>1</v>
      </c>
      <c r="H654" s="1">
        <v>45916.262280092589</v>
      </c>
      <c r="I654" s="2">
        <v>1</v>
      </c>
      <c r="J654" s="1">
        <v>45915.497708333336</v>
      </c>
    </row>
    <row r="655" spans="1:10" x14ac:dyDescent="0.2">
      <c r="A655" s="4" t="s">
        <v>0</v>
      </c>
      <c r="B655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5" s="3" t="str">
        <f>HYPERLINK("https://otsuka-europe-crm.veevavault.com/ui/#object/sent_email__v/VBLZ025E82GO3JT", "SE-000275518")</f>
        <v>SE-000275518</v>
      </c>
      <c r="D655" s="1">
        <v>45915.54241898148</v>
      </c>
      <c r="E655" s="2">
        <v>1</v>
      </c>
      <c r="F655" s="2">
        <v>1</v>
      </c>
      <c r="G655" s="2">
        <v>0</v>
      </c>
      <c r="H655" s="1" t="s">
        <v>1</v>
      </c>
      <c r="I655" s="2">
        <v>0</v>
      </c>
      <c r="J655" s="1">
        <v>45915.498067129629</v>
      </c>
    </row>
    <row r="656" spans="1:10" x14ac:dyDescent="0.2">
      <c r="A656" s="4" t="s">
        <v>0</v>
      </c>
      <c r="B656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6" s="3" t="str">
        <f>HYPERLINK("https://otsuka-europe-crm.veevavault.com/ui/#object/sent_email__v/VBLZ025E82GO3ML", "SE-000275519")</f>
        <v>SE-000275519</v>
      </c>
      <c r="D656" s="1" t="s">
        <v>1</v>
      </c>
      <c r="E656" s="2">
        <v>0</v>
      </c>
      <c r="F656" s="2">
        <v>0</v>
      </c>
      <c r="G656" s="2">
        <v>0</v>
      </c>
      <c r="H656" s="1" t="s">
        <v>1</v>
      </c>
      <c r="I656" s="2">
        <v>0</v>
      </c>
      <c r="J656" s="1">
        <v>45915.499282407407</v>
      </c>
    </row>
    <row r="657" spans="1:10" x14ac:dyDescent="0.2">
      <c r="A657" s="4" t="s">
        <v>0</v>
      </c>
      <c r="B657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7" s="3" t="str">
        <f>HYPERLINK("https://otsuka-europe-crm.veevavault.com/ui/#object/sent_email__v/VBLZ025E82GO1P7", "SE-000275538")</f>
        <v>SE-000275538</v>
      </c>
      <c r="D657" s="1" t="s">
        <v>1</v>
      </c>
      <c r="E657" s="2">
        <v>0</v>
      </c>
      <c r="F657" s="2">
        <v>0</v>
      </c>
      <c r="G657" s="2">
        <v>0</v>
      </c>
      <c r="H657" s="1" t="s">
        <v>1</v>
      </c>
      <c r="I657" s="2">
        <v>0</v>
      </c>
      <c r="J657" s="1">
        <v>45915.510289351849</v>
      </c>
    </row>
    <row r="658" spans="1:10" x14ac:dyDescent="0.2">
      <c r="A658" s="4" t="s">
        <v>0</v>
      </c>
      <c r="B658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8" s="3" t="str">
        <f>HYPERLINK("https://otsuka-europe-crm.veevavault.com/ui/#object/sent_email__v/VBLZ025E82GO73L", "SE-000275556")</f>
        <v>SE-000275556</v>
      </c>
      <c r="D658" s="1">
        <v>45951.590509259258</v>
      </c>
      <c r="E658" s="2">
        <v>1</v>
      </c>
      <c r="F658" s="2">
        <v>2</v>
      </c>
      <c r="G658" s="2">
        <v>0</v>
      </c>
      <c r="H658" s="1" t="s">
        <v>1</v>
      </c>
      <c r="I658" s="2">
        <v>0</v>
      </c>
      <c r="J658" s="1">
        <v>45915.514432870368</v>
      </c>
    </row>
    <row r="659" spans="1:10" x14ac:dyDescent="0.2">
      <c r="A659" s="4" t="s">
        <v>0</v>
      </c>
      <c r="B659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59" s="3" t="str">
        <f>HYPERLINK("https://otsuka-europe-crm.veevavault.com/ui/#object/sent_email__v/VBLZ025E82GO7K9", "SE-000275562")</f>
        <v>SE-000275562</v>
      </c>
      <c r="D659" s="1" t="s">
        <v>1</v>
      </c>
      <c r="E659" s="2">
        <v>0</v>
      </c>
      <c r="F659" s="2">
        <v>0</v>
      </c>
      <c r="G659" s="2">
        <v>0</v>
      </c>
      <c r="H659" s="1" t="s">
        <v>1</v>
      </c>
      <c r="I659" s="2">
        <v>0</v>
      </c>
      <c r="J659" s="1">
        <v>45915.515763888892</v>
      </c>
    </row>
    <row r="660" spans="1:10" x14ac:dyDescent="0.2">
      <c r="A660" s="4" t="s">
        <v>0</v>
      </c>
      <c r="B660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0" s="3" t="str">
        <f>HYPERLINK("https://otsuka-europe-crm.veevavault.com/ui/#object/sent_email__v/VBLZ025E82GO7SL", "SE-000275565")</f>
        <v>SE-000275565</v>
      </c>
      <c r="D660" s="1">
        <v>45927.334930555553</v>
      </c>
      <c r="E660" s="2">
        <v>1</v>
      </c>
      <c r="F660" s="2">
        <v>1</v>
      </c>
      <c r="G660" s="2">
        <v>0</v>
      </c>
      <c r="H660" s="1" t="s">
        <v>1</v>
      </c>
      <c r="I660" s="2">
        <v>0</v>
      </c>
      <c r="J660" s="1">
        <v>45915.516331018516</v>
      </c>
    </row>
    <row r="661" spans="1:10" x14ac:dyDescent="0.2">
      <c r="A661" s="4" t="s">
        <v>0</v>
      </c>
      <c r="B661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1" s="3" t="str">
        <f>HYPERLINK("https://otsuka-europe-crm.veevavault.com/ui/#object/sent_email__v/VBLZ025E82GO7VD", "SE-000275566")</f>
        <v>SE-000275566</v>
      </c>
      <c r="D661" s="1" t="s">
        <v>1</v>
      </c>
      <c r="E661" s="2">
        <v>0</v>
      </c>
      <c r="F661" s="2">
        <v>0</v>
      </c>
      <c r="G661" s="2">
        <v>0</v>
      </c>
      <c r="H661" s="1" t="s">
        <v>1</v>
      </c>
      <c r="I661" s="2">
        <v>0</v>
      </c>
      <c r="J661" s="1">
        <v>45915.516689814816</v>
      </c>
    </row>
    <row r="662" spans="1:10" x14ac:dyDescent="0.2">
      <c r="A662" s="4" t="s">
        <v>0</v>
      </c>
      <c r="B662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2" s="3" t="str">
        <f>HYPERLINK("https://otsuka-europe-crm.veevavault.com/ui/#object/sent_email__v/VBLZ025E82GO8ET", "SE-000275568")</f>
        <v>SE-000275568</v>
      </c>
      <c r="D662" s="1">
        <v>45917.465196759258</v>
      </c>
      <c r="E662" s="2">
        <v>1</v>
      </c>
      <c r="F662" s="2">
        <v>2</v>
      </c>
      <c r="G662" s="2">
        <v>0</v>
      </c>
      <c r="H662" s="1" t="s">
        <v>1</v>
      </c>
      <c r="I662" s="2">
        <v>0</v>
      </c>
      <c r="J662" s="1">
        <v>45915.517291666663</v>
      </c>
    </row>
    <row r="663" spans="1:10" x14ac:dyDescent="0.2">
      <c r="A663" s="4" t="s">
        <v>0</v>
      </c>
      <c r="B663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3" s="3" t="str">
        <f>HYPERLINK("https://otsuka-europe-crm.veevavault.com/ui/#object/sent_email__v/VBLZ025E82GO8PX", "SE-000275570")</f>
        <v>SE-000275570</v>
      </c>
      <c r="D663" s="1">
        <v>45916.219699074078</v>
      </c>
      <c r="E663" s="2">
        <v>1</v>
      </c>
      <c r="F663" s="2">
        <v>1</v>
      </c>
      <c r="G663" s="2">
        <v>0</v>
      </c>
      <c r="H663" s="1" t="s">
        <v>1</v>
      </c>
      <c r="I663" s="2">
        <v>0</v>
      </c>
      <c r="J663" s="1">
        <v>45915.518020833333</v>
      </c>
    </row>
    <row r="664" spans="1:10" x14ac:dyDescent="0.2">
      <c r="A664" s="4" t="s">
        <v>0</v>
      </c>
      <c r="B664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4" s="3" t="str">
        <f>HYPERLINK("https://otsuka-europe-crm.veevavault.com/ui/#object/sent_email__v/VBLZ025E82GO8SP", "SE-000275571")</f>
        <v>SE-000275571</v>
      </c>
      <c r="D664" s="1" t="s">
        <v>1</v>
      </c>
      <c r="E664" s="2">
        <v>0</v>
      </c>
      <c r="F664" s="2">
        <v>0</v>
      </c>
      <c r="G664" s="2">
        <v>0</v>
      </c>
      <c r="H664" s="1" t="s">
        <v>1</v>
      </c>
      <c r="I664" s="2">
        <v>0</v>
      </c>
      <c r="J664" s="1">
        <v>45915.519050925926</v>
      </c>
    </row>
    <row r="665" spans="1:10" x14ac:dyDescent="0.2">
      <c r="A665" s="4" t="s">
        <v>0</v>
      </c>
      <c r="B665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5" s="3" t="str">
        <f>HYPERLINK("https://otsuka-europe-crm.veevavault.com/ui/#object/sent_email__v/VBLZ025E82GO8VH", "SE-000275572")</f>
        <v>SE-000275572</v>
      </c>
      <c r="D665" s="1">
        <v>45918.380810185183</v>
      </c>
      <c r="E665" s="2">
        <v>1</v>
      </c>
      <c r="F665" s="2">
        <v>2</v>
      </c>
      <c r="G665" s="2">
        <v>0</v>
      </c>
      <c r="H665" s="1" t="s">
        <v>1</v>
      </c>
      <c r="I665" s="2">
        <v>0</v>
      </c>
      <c r="J665" s="1">
        <v>45915.519328703704</v>
      </c>
    </row>
    <row r="666" spans="1:10" x14ac:dyDescent="0.2">
      <c r="A666" s="4" t="s">
        <v>0</v>
      </c>
      <c r="B666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6" s="3" t="str">
        <f>HYPERLINK("https://otsuka-europe-crm.veevavault.com/ui/#object/sent_email__v/VBLZ025E82GO911", "SE-000275573")</f>
        <v>SE-000275573</v>
      </c>
      <c r="D666" s="1" t="s">
        <v>1</v>
      </c>
      <c r="E666" s="2">
        <v>0</v>
      </c>
      <c r="F666" s="2">
        <v>0</v>
      </c>
      <c r="G666" s="2">
        <v>0</v>
      </c>
      <c r="H666" s="1" t="s">
        <v>1</v>
      </c>
      <c r="I666" s="2">
        <v>0</v>
      </c>
      <c r="J666" s="1">
        <v>45915.51972222222</v>
      </c>
    </row>
    <row r="667" spans="1:10" x14ac:dyDescent="0.2">
      <c r="A667" s="4" t="s">
        <v>0</v>
      </c>
      <c r="B667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7" s="3" t="str">
        <f>HYPERLINK("https://otsuka-europe-crm.veevavault.com/ui/#object/sent_email__v/VBLZ025E82GO93T", "SE-000275574")</f>
        <v>SE-000275574</v>
      </c>
      <c r="D667" s="1" t="s">
        <v>1</v>
      </c>
      <c r="E667" s="2">
        <v>0</v>
      </c>
      <c r="F667" s="2">
        <v>0</v>
      </c>
      <c r="G667" s="2">
        <v>0</v>
      </c>
      <c r="H667" s="1" t="s">
        <v>1</v>
      </c>
      <c r="I667" s="2">
        <v>0</v>
      </c>
      <c r="J667" s="1">
        <v>45915.520127314812</v>
      </c>
    </row>
    <row r="668" spans="1:10" x14ac:dyDescent="0.2">
      <c r="A668" s="4" t="s">
        <v>0</v>
      </c>
      <c r="B668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8" s="3" t="str">
        <f>HYPERLINK("https://otsuka-europe-crm.veevavault.com/ui/#object/sent_email__v/VBLZ025E82GO9Q1", "SE-000275579")</f>
        <v>SE-000275579</v>
      </c>
      <c r="D668" s="1">
        <v>45917.896678240744</v>
      </c>
      <c r="E668" s="2">
        <v>1</v>
      </c>
      <c r="F668" s="2">
        <v>7</v>
      </c>
      <c r="G668" s="2">
        <v>1</v>
      </c>
      <c r="H668" s="1">
        <v>45915.522905092592</v>
      </c>
      <c r="I668" s="2">
        <v>1</v>
      </c>
      <c r="J668" s="1">
        <v>45915.522870370369</v>
      </c>
    </row>
    <row r="669" spans="1:10" x14ac:dyDescent="0.2">
      <c r="A669" s="4" t="s">
        <v>0</v>
      </c>
      <c r="B669" s="3" t="str">
        <f>HYPERLINK("https://otsuka-europe-crm.veevavault.com/ui/#object/approved_document__v/V5OZ025E82TL7RL", "VAE AT - Save the Date LN Webinar OPEL Nov 2025 (Rheumatologie)")</f>
        <v>VAE AT - Save the Date LN Webinar OPEL Nov 2025 (Rheumatologie)</v>
      </c>
      <c r="C669" s="3" t="str">
        <f>HYPERLINK("https://otsuka-europe-crm.veevavault.com/ui/#object/sent_email__v/VBLZ025E82GOH1X", "SE-000275600")</f>
        <v>SE-000275600</v>
      </c>
      <c r="D669" s="1" t="s">
        <v>1</v>
      </c>
      <c r="E669" s="2">
        <v>0</v>
      </c>
      <c r="F669" s="2">
        <v>0</v>
      </c>
      <c r="G669" s="2">
        <v>0</v>
      </c>
      <c r="H669" s="1" t="s">
        <v>1</v>
      </c>
      <c r="I669" s="2">
        <v>0</v>
      </c>
      <c r="J669" s="1">
        <v>45915.61037037037</v>
      </c>
    </row>
    <row r="670" spans="1:10" x14ac:dyDescent="0.2">
      <c r="A670" s="4" t="s">
        <v>0</v>
      </c>
      <c r="B670" s="3" t="str">
        <f>HYPERLINK("https://otsuka-europe-crm.veevavault.com/ui/#object/approved_document__v/V5O000000009009", "VAE AT - Save the Date Lupologen WS (Infektiologie)")</f>
        <v>VAE AT - Save the Date Lupologen WS (Infektiologie)</v>
      </c>
      <c r="C670" s="3" t="str">
        <f>HYPERLINK("https://otsuka-europe-crm.veevavault.com/ui/#object/sent_email__v/VBL00000000R072", "SE-001391629")</f>
        <v>SE-001391629</v>
      </c>
      <c r="D670" s="1">
        <v>45986.442777777775</v>
      </c>
      <c r="E670" s="2">
        <v>1</v>
      </c>
      <c r="F670" s="2">
        <v>2</v>
      </c>
      <c r="G670" s="2">
        <v>0</v>
      </c>
      <c r="H670" s="1" t="s">
        <v>1</v>
      </c>
      <c r="I670" s="2">
        <v>0</v>
      </c>
      <c r="J670" s="1">
        <v>45985.34946759259</v>
      </c>
    </row>
    <row r="671" spans="1:10" x14ac:dyDescent="0.2">
      <c r="A671" s="4" t="s">
        <v>0</v>
      </c>
      <c r="B671" s="3" t="str">
        <f>HYPERLINK("https://otsuka-europe-crm.veevavault.com/ui/#object/approved_document__v/V5O000000009009", "VAE AT - Save the Date Lupologen WS (Infektiologie)")</f>
        <v>VAE AT - Save the Date Lupologen WS (Infektiologie)</v>
      </c>
      <c r="C671" s="3" t="str">
        <f>HYPERLINK("https://otsuka-europe-crm.veevavault.com/ui/#object/sent_email__v/VBL00000000S024", "SE-001391677")</f>
        <v>SE-001391677</v>
      </c>
      <c r="D671" s="1" t="s">
        <v>1</v>
      </c>
      <c r="E671" s="2">
        <v>0</v>
      </c>
      <c r="F671" s="2">
        <v>0</v>
      </c>
      <c r="G671" s="2">
        <v>0</v>
      </c>
      <c r="H671" s="1" t="s">
        <v>1</v>
      </c>
      <c r="I671" s="2">
        <v>0</v>
      </c>
      <c r="J671" s="1">
        <v>45985.374907407408</v>
      </c>
    </row>
    <row r="672" spans="1:10" x14ac:dyDescent="0.2">
      <c r="A672" s="4" t="s">
        <v>0</v>
      </c>
      <c r="B672" s="3" t="str">
        <f>HYPERLINK("https://otsuka-europe-crm.veevavault.com/ui/#object/approved_document__v/V5O000000009013", "VAE AT - Save the Date Lupologen WS (Nephrologie)")</f>
        <v>VAE AT - Save the Date Lupologen WS (Nephrologie)</v>
      </c>
      <c r="C672" s="3" t="str">
        <f>HYPERLINK("https://otsuka-europe-crm.veevavault.com/ui/#object/sent_email__v/VBL00000000S019", "SE-001391628")</f>
        <v>SE-001391628</v>
      </c>
      <c r="D672" s="1" t="s">
        <v>1</v>
      </c>
      <c r="E672" s="2">
        <v>0</v>
      </c>
      <c r="F672" s="2">
        <v>0</v>
      </c>
      <c r="G672" s="2">
        <v>0</v>
      </c>
      <c r="H672" s="1" t="s">
        <v>1</v>
      </c>
      <c r="I672" s="2">
        <v>0</v>
      </c>
      <c r="J672" s="1">
        <v>45985.348240740743</v>
      </c>
    </row>
    <row r="673" spans="1:10" x14ac:dyDescent="0.2">
      <c r="A673" s="4" t="s">
        <v>0</v>
      </c>
      <c r="B673" s="3" t="str">
        <f>HYPERLINK("https://otsuka-europe-crm.veevavault.com/ui/#object/approved_document__v/V5O000000009013", "VAE AT - Save the Date Lupologen WS (Nephrologie)")</f>
        <v>VAE AT - Save the Date Lupologen WS (Nephrologie)</v>
      </c>
      <c r="C673" s="3" t="str">
        <f>HYPERLINK("https://otsuka-europe-crm.veevavault.com/ui/#object/sent_email__v/VBL00000000S020", "SE-001391630")</f>
        <v>SE-001391630</v>
      </c>
      <c r="D673" s="1" t="s">
        <v>1</v>
      </c>
      <c r="E673" s="2">
        <v>0</v>
      </c>
      <c r="F673" s="2">
        <v>0</v>
      </c>
      <c r="G673" s="2">
        <v>0</v>
      </c>
      <c r="H673" s="1" t="s">
        <v>1</v>
      </c>
      <c r="I673" s="2">
        <v>0</v>
      </c>
      <c r="J673" s="1">
        <v>45985.34983796296</v>
      </c>
    </row>
    <row r="674" spans="1:10" x14ac:dyDescent="0.2">
      <c r="A674" s="4" t="s">
        <v>0</v>
      </c>
      <c r="B674" s="3" t="str">
        <f>HYPERLINK("https://otsuka-europe-crm.veevavault.com/ui/#object/approved_document__v/V5O000000009013", "VAE AT - Save the Date Lupologen WS (Nephrologie)")</f>
        <v>VAE AT - Save the Date Lupologen WS (Nephrologie)</v>
      </c>
      <c r="C674" s="3" t="str">
        <f>HYPERLINK("https://otsuka-europe-crm.veevavault.com/ui/#object/sent_email__v/VBL00000000R073", "SE-001391631")</f>
        <v>SE-001391631</v>
      </c>
      <c r="D674" s="1">
        <v>46008.893541666665</v>
      </c>
      <c r="E674" s="2">
        <v>1</v>
      </c>
      <c r="F674" s="2">
        <v>7</v>
      </c>
      <c r="G674" s="2">
        <v>0</v>
      </c>
      <c r="H674" s="1" t="s">
        <v>1</v>
      </c>
      <c r="I674" s="2">
        <v>0</v>
      </c>
      <c r="J674" s="1">
        <v>45985.350266203706</v>
      </c>
    </row>
    <row r="675" spans="1:10" x14ac:dyDescent="0.2">
      <c r="A675" s="4" t="s">
        <v>0</v>
      </c>
      <c r="B675" s="3" t="str">
        <f>HYPERLINK("https://otsuka-europe-crm.veevavault.com/ui/#object/approved_document__v/V5O000000009013", "VAE AT - Save the Date Lupologen WS (Nephrologie)")</f>
        <v>VAE AT - Save the Date Lupologen WS (Nephrologie)</v>
      </c>
      <c r="C675" s="3" t="str">
        <f>HYPERLINK("https://otsuka-europe-crm.veevavault.com/ui/#object/sent_email__v/VBL00000000R074", "SE-001391632")</f>
        <v>SE-001391632</v>
      </c>
      <c r="D675" s="1" t="s">
        <v>1</v>
      </c>
      <c r="E675" s="2">
        <v>0</v>
      </c>
      <c r="F675" s="2">
        <v>0</v>
      </c>
      <c r="G675" s="2">
        <v>0</v>
      </c>
      <c r="H675" s="1" t="s">
        <v>1</v>
      </c>
      <c r="I675" s="2">
        <v>0</v>
      </c>
      <c r="J675" s="1">
        <v>45985.350659722222</v>
      </c>
    </row>
    <row r="676" spans="1:10" x14ac:dyDescent="0.2">
      <c r="A676" s="4" t="s">
        <v>0</v>
      </c>
      <c r="B676" s="3" t="str">
        <f>HYPERLINK("https://otsuka-europe-crm.veevavault.com/ui/#object/approved_document__v/V5O000000009013", "VAE AT - Save the Date Lupologen WS (Nephrologie)")</f>
        <v>VAE AT - Save the Date Lupologen WS (Nephrologie)</v>
      </c>
      <c r="C676" s="3" t="str">
        <f>HYPERLINK("https://otsuka-europe-crm.veevavault.com/ui/#object/sent_email__v/VBL00000000R075", "SE-001391633")</f>
        <v>SE-001391633</v>
      </c>
      <c r="D676" s="1" t="s">
        <v>1</v>
      </c>
      <c r="E676" s="2">
        <v>0</v>
      </c>
      <c r="F676" s="2">
        <v>0</v>
      </c>
      <c r="G676" s="2">
        <v>0</v>
      </c>
      <c r="H676" s="1" t="s">
        <v>1</v>
      </c>
      <c r="I676" s="2">
        <v>0</v>
      </c>
      <c r="J676" s="1">
        <v>45985.35083333333</v>
      </c>
    </row>
    <row r="677" spans="1:10" x14ac:dyDescent="0.2">
      <c r="A677" s="4" t="s">
        <v>0</v>
      </c>
      <c r="B677" s="3" t="str">
        <f>HYPERLINK("https://otsuka-europe-crm.veevavault.com/ui/#object/approved_document__v/V5O000000009013", "VAE AT - Save the Date Lupologen WS (Nephrologie)")</f>
        <v>VAE AT - Save the Date Lupologen WS (Nephrologie)</v>
      </c>
      <c r="C677" s="3" t="str">
        <f>HYPERLINK("https://otsuka-europe-crm.veevavault.com/ui/#object/sent_email__v/VBL00000000R076", "SE-001391634")</f>
        <v>SE-001391634</v>
      </c>
      <c r="D677" s="1" t="s">
        <v>1</v>
      </c>
      <c r="E677" s="2">
        <v>0</v>
      </c>
      <c r="F677" s="2">
        <v>0</v>
      </c>
      <c r="G677" s="2">
        <v>0</v>
      </c>
      <c r="H677" s="1" t="s">
        <v>1</v>
      </c>
      <c r="I677" s="2">
        <v>0</v>
      </c>
      <c r="J677" s="1">
        <v>45985.351261574076</v>
      </c>
    </row>
    <row r="678" spans="1:10" x14ac:dyDescent="0.2">
      <c r="A678" s="4" t="s">
        <v>0</v>
      </c>
      <c r="B678" s="3" t="str">
        <f>HYPERLINK("https://otsuka-europe-crm.veevavault.com/ui/#object/approved_document__v/V5O000000009013", "VAE AT - Save the Date Lupologen WS (Nephrologie)")</f>
        <v>VAE AT - Save the Date Lupologen WS (Nephrologie)</v>
      </c>
      <c r="C678" s="3" t="str">
        <f>HYPERLINK("https://otsuka-europe-crm.veevavault.com/ui/#object/sent_email__v/VBL00000000R077", "SE-001391635")</f>
        <v>SE-001391635</v>
      </c>
      <c r="D678" s="1" t="s">
        <v>1</v>
      </c>
      <c r="E678" s="2">
        <v>0</v>
      </c>
      <c r="F678" s="2">
        <v>0</v>
      </c>
      <c r="G678" s="2">
        <v>0</v>
      </c>
      <c r="H678" s="1" t="s">
        <v>1</v>
      </c>
      <c r="I678" s="2">
        <v>0</v>
      </c>
      <c r="J678" s="1">
        <v>45985.352326388886</v>
      </c>
    </row>
    <row r="679" spans="1:10" x14ac:dyDescent="0.2">
      <c r="A679" s="4" t="s">
        <v>0</v>
      </c>
      <c r="B679" s="3" t="str">
        <f>HYPERLINK("https://otsuka-europe-crm.veevavault.com/ui/#object/approved_document__v/V5O000000009013", "VAE AT - Save the Date Lupologen WS (Nephrologie)")</f>
        <v>VAE AT - Save the Date Lupologen WS (Nephrologie)</v>
      </c>
      <c r="C679" s="3" t="str">
        <f>HYPERLINK("https://otsuka-europe-crm.veevavault.com/ui/#object/sent_email__v/VBL00000000R078", "SE-001391636")</f>
        <v>SE-001391636</v>
      </c>
      <c r="D679" s="1" t="s">
        <v>1</v>
      </c>
      <c r="E679" s="2">
        <v>0</v>
      </c>
      <c r="F679" s="2">
        <v>0</v>
      </c>
      <c r="G679" s="2">
        <v>0</v>
      </c>
      <c r="H679" s="1" t="s">
        <v>1</v>
      </c>
      <c r="I679" s="2">
        <v>0</v>
      </c>
      <c r="J679" s="1">
        <v>45985.354155092595</v>
      </c>
    </row>
    <row r="680" spans="1:10" x14ac:dyDescent="0.2">
      <c r="A680" s="4" t="s">
        <v>0</v>
      </c>
      <c r="B680" s="3" t="str">
        <f>HYPERLINK("https://otsuka-europe-crm.veevavault.com/ui/#object/approved_document__v/V5O000000009013", "VAE AT - Save the Date Lupologen WS (Nephrologie)")</f>
        <v>VAE AT - Save the Date Lupologen WS (Nephrologie)</v>
      </c>
      <c r="C680" s="3" t="str">
        <f>HYPERLINK("https://otsuka-europe-crm.veevavault.com/ui/#object/sent_email__v/VBL00000000R079", "SE-001391637")</f>
        <v>SE-001391637</v>
      </c>
      <c r="D680" s="1" t="s">
        <v>1</v>
      </c>
      <c r="E680" s="2">
        <v>0</v>
      </c>
      <c r="F680" s="2">
        <v>0</v>
      </c>
      <c r="G680" s="2">
        <v>0</v>
      </c>
      <c r="H680" s="1" t="s">
        <v>1</v>
      </c>
      <c r="I680" s="2">
        <v>0</v>
      </c>
      <c r="J680" s="1">
        <v>45985.354386574072</v>
      </c>
    </row>
    <row r="681" spans="1:10" x14ac:dyDescent="0.2">
      <c r="A681" s="4" t="s">
        <v>0</v>
      </c>
      <c r="B681" s="3" t="str">
        <f>HYPERLINK("https://otsuka-europe-crm.veevavault.com/ui/#object/approved_document__v/V5O000000009013", "VAE AT - Save the Date Lupologen WS (Nephrologie)")</f>
        <v>VAE AT - Save the Date Lupologen WS (Nephrologie)</v>
      </c>
      <c r="C681" s="3" t="str">
        <f>HYPERLINK("https://otsuka-europe-crm.veevavault.com/ui/#object/sent_email__v/VBL00000000R080", "SE-001391638")</f>
        <v>SE-001391638</v>
      </c>
      <c r="D681" s="1" t="s">
        <v>1</v>
      </c>
      <c r="E681" s="2">
        <v>0</v>
      </c>
      <c r="F681" s="2">
        <v>0</v>
      </c>
      <c r="G681" s="2">
        <v>0</v>
      </c>
      <c r="H681" s="1" t="s">
        <v>1</v>
      </c>
      <c r="I681" s="2">
        <v>0</v>
      </c>
      <c r="J681" s="1">
        <v>45985.354803240742</v>
      </c>
    </row>
    <row r="682" spans="1:10" x14ac:dyDescent="0.2">
      <c r="A682" s="4" t="s">
        <v>0</v>
      </c>
      <c r="B682" s="3" t="str">
        <f>HYPERLINK("https://otsuka-europe-crm.veevavault.com/ui/#object/approved_document__v/V5O000000009013", "VAE AT - Save the Date Lupologen WS (Nephrologie)")</f>
        <v>VAE AT - Save the Date Lupologen WS (Nephrologie)</v>
      </c>
      <c r="C682" s="3" t="str">
        <f>HYPERLINK("https://otsuka-europe-crm.veevavault.com/ui/#object/sent_email__v/VBL00000000R081", "SE-001391639")</f>
        <v>SE-001391639</v>
      </c>
      <c r="D682" s="1" t="s">
        <v>1</v>
      </c>
      <c r="E682" s="2">
        <v>0</v>
      </c>
      <c r="F682" s="2">
        <v>0</v>
      </c>
      <c r="G682" s="2">
        <v>0</v>
      </c>
      <c r="H682" s="1" t="s">
        <v>1</v>
      </c>
      <c r="I682" s="2">
        <v>0</v>
      </c>
      <c r="J682" s="1">
        <v>45985.355231481481</v>
      </c>
    </row>
    <row r="683" spans="1:10" x14ac:dyDescent="0.2">
      <c r="A683" s="4" t="s">
        <v>0</v>
      </c>
      <c r="B683" s="3" t="str">
        <f>HYPERLINK("https://otsuka-europe-crm.veevavault.com/ui/#object/approved_document__v/V5O000000009013", "VAE AT - Save the Date Lupologen WS (Nephrologie)")</f>
        <v>VAE AT - Save the Date Lupologen WS (Nephrologie)</v>
      </c>
      <c r="C683" s="3" t="str">
        <f>HYPERLINK("https://otsuka-europe-crm.veevavault.com/ui/#object/sent_email__v/VBL00000000R082", "SE-001391640")</f>
        <v>SE-001391640</v>
      </c>
      <c r="D683" s="1">
        <v>45985.400196759256</v>
      </c>
      <c r="E683" s="2">
        <v>1</v>
      </c>
      <c r="F683" s="2">
        <v>1</v>
      </c>
      <c r="G683" s="2">
        <v>0</v>
      </c>
      <c r="H683" s="1" t="s">
        <v>1</v>
      </c>
      <c r="I683" s="2">
        <v>0</v>
      </c>
      <c r="J683" s="1">
        <v>45985.355520833335</v>
      </c>
    </row>
    <row r="684" spans="1:10" x14ac:dyDescent="0.2">
      <c r="A684" s="4" t="s">
        <v>0</v>
      </c>
      <c r="B684" s="3" t="str">
        <f>HYPERLINK("https://otsuka-europe-crm.veevavault.com/ui/#object/approved_document__v/V5O000000009013", "VAE AT - Save the Date Lupologen WS (Nephrologie)")</f>
        <v>VAE AT - Save the Date Lupologen WS (Nephrologie)</v>
      </c>
      <c r="C684" s="3" t="str">
        <f>HYPERLINK("https://otsuka-europe-crm.veevavault.com/ui/#object/sent_email__v/VBL00000000R083", "SE-001391641")</f>
        <v>SE-001391641</v>
      </c>
      <c r="D684" s="1">
        <v>45986.312557870369</v>
      </c>
      <c r="E684" s="2">
        <v>1</v>
      </c>
      <c r="F684" s="2">
        <v>1</v>
      </c>
      <c r="G684" s="2">
        <v>0</v>
      </c>
      <c r="H684" s="1" t="s">
        <v>1</v>
      </c>
      <c r="I684" s="2">
        <v>0</v>
      </c>
      <c r="J684" s="1">
        <v>45985.355868055558</v>
      </c>
    </row>
    <row r="685" spans="1:10" x14ac:dyDescent="0.2">
      <c r="A685" s="4" t="s">
        <v>0</v>
      </c>
      <c r="B685" s="3" t="str">
        <f>HYPERLINK("https://otsuka-europe-crm.veevavault.com/ui/#object/approved_document__v/V5O000000009013", "VAE AT - Save the Date Lupologen WS (Nephrologie)")</f>
        <v>VAE AT - Save the Date Lupologen WS (Nephrologie)</v>
      </c>
      <c r="C685" s="3" t="str">
        <f>HYPERLINK("https://otsuka-europe-crm.veevavault.com/ui/#object/sent_email__v/VBL00000000R084", "SE-001391642")</f>
        <v>SE-001391642</v>
      </c>
      <c r="D685" s="1" t="s">
        <v>1</v>
      </c>
      <c r="E685" s="2">
        <v>0</v>
      </c>
      <c r="F685" s="2">
        <v>0</v>
      </c>
      <c r="G685" s="2">
        <v>0</v>
      </c>
      <c r="H685" s="1" t="s">
        <v>1</v>
      </c>
      <c r="I685" s="2">
        <v>0</v>
      </c>
      <c r="J685" s="1">
        <v>45985.356851851851</v>
      </c>
    </row>
    <row r="686" spans="1:10" x14ac:dyDescent="0.2">
      <c r="A686" s="4" t="s">
        <v>0</v>
      </c>
      <c r="B686" s="3" t="str">
        <f>HYPERLINK("https://otsuka-europe-crm.veevavault.com/ui/#object/approved_document__v/V5O000000009013", "VAE AT - Save the Date Lupologen WS (Nephrologie)")</f>
        <v>VAE AT - Save the Date Lupologen WS (Nephrologie)</v>
      </c>
      <c r="C686" s="3" t="str">
        <f>HYPERLINK("https://otsuka-europe-crm.veevavault.com/ui/#object/sent_email__v/VBL00000000R086", "SE-001391644")</f>
        <v>SE-001391644</v>
      </c>
      <c r="D686" s="1">
        <v>45985.409513888888</v>
      </c>
      <c r="E686" s="2">
        <v>1</v>
      </c>
      <c r="F686" s="2">
        <v>2</v>
      </c>
      <c r="G686" s="2">
        <v>0</v>
      </c>
      <c r="H686" s="1" t="s">
        <v>1</v>
      </c>
      <c r="I686" s="2">
        <v>0</v>
      </c>
      <c r="J686" s="1">
        <v>45985.357615740744</v>
      </c>
    </row>
    <row r="687" spans="1:10" x14ac:dyDescent="0.2">
      <c r="A687" s="4" t="s">
        <v>0</v>
      </c>
      <c r="B687" s="3" t="str">
        <f>HYPERLINK("https://otsuka-europe-crm.veevavault.com/ui/#object/approved_document__v/V5O000000009013", "VAE AT - Save the Date Lupologen WS (Nephrologie)")</f>
        <v>VAE AT - Save the Date Lupologen WS (Nephrologie)</v>
      </c>
      <c r="C687" s="3" t="str">
        <f>HYPERLINK("https://otsuka-europe-crm.veevavault.com/ui/#object/sent_email__v/VBL00000000R087", "SE-001391645")</f>
        <v>SE-001391645</v>
      </c>
      <c r="D687" s="1">
        <v>45988.649988425925</v>
      </c>
      <c r="E687" s="2">
        <v>1</v>
      </c>
      <c r="F687" s="2">
        <v>14</v>
      </c>
      <c r="G687" s="2">
        <v>0</v>
      </c>
      <c r="H687" s="1" t="s">
        <v>1</v>
      </c>
      <c r="I687" s="2">
        <v>0</v>
      </c>
      <c r="J687" s="1">
        <v>45985.357789351852</v>
      </c>
    </row>
    <row r="688" spans="1:10" x14ac:dyDescent="0.2">
      <c r="A688" s="4" t="s">
        <v>0</v>
      </c>
      <c r="B688" s="3" t="str">
        <f>HYPERLINK("https://otsuka-europe-crm.veevavault.com/ui/#object/approved_document__v/V5O000000009013", "VAE AT - Save the Date Lupologen WS (Nephrologie)")</f>
        <v>VAE AT - Save the Date Lupologen WS (Nephrologie)</v>
      </c>
      <c r="C688" s="3" t="str">
        <f>HYPERLINK("https://otsuka-europe-crm.veevavault.com/ui/#object/sent_email__v/VBL00000000R088", "SE-001391646")</f>
        <v>SE-001391646</v>
      </c>
      <c r="D688" s="1" t="s">
        <v>1</v>
      </c>
      <c r="E688" s="2">
        <v>0</v>
      </c>
      <c r="F688" s="2">
        <v>0</v>
      </c>
      <c r="G688" s="2">
        <v>0</v>
      </c>
      <c r="H688" s="1" t="s">
        <v>1</v>
      </c>
      <c r="I688" s="2">
        <v>0</v>
      </c>
      <c r="J688" s="1">
        <v>45985.358171296299</v>
      </c>
    </row>
    <row r="689" spans="1:10" x14ac:dyDescent="0.2">
      <c r="A689" s="4" t="s">
        <v>0</v>
      </c>
      <c r="B689" s="3" t="str">
        <f>HYPERLINK("https://otsuka-europe-crm.veevavault.com/ui/#object/approved_document__v/V5O000000009013", "VAE AT - Save the Date Lupologen WS (Nephrologie)")</f>
        <v>VAE AT - Save the Date Lupologen WS (Nephrologie)</v>
      </c>
      <c r="C689" s="3" t="str">
        <f>HYPERLINK("https://otsuka-europe-crm.veevavault.com/ui/#object/sent_email__v/VBL00000000R089", "SE-001391647")</f>
        <v>SE-001391647</v>
      </c>
      <c r="D689" s="1" t="s">
        <v>1</v>
      </c>
      <c r="E689" s="2">
        <v>0</v>
      </c>
      <c r="F689" s="2">
        <v>0</v>
      </c>
      <c r="G689" s="2">
        <v>0</v>
      </c>
      <c r="H689" s="1" t="s">
        <v>1</v>
      </c>
      <c r="I689" s="2">
        <v>0</v>
      </c>
      <c r="J689" s="1">
        <v>45985.358483796299</v>
      </c>
    </row>
    <row r="690" spans="1:10" x14ac:dyDescent="0.2">
      <c r="A690" s="4" t="s">
        <v>0</v>
      </c>
      <c r="B690" s="3" t="str">
        <f>HYPERLINK("https://otsuka-europe-crm.veevavault.com/ui/#object/approved_document__v/V5O000000009013", "VAE AT - Save the Date Lupologen WS (Nephrologie)")</f>
        <v>VAE AT - Save the Date Lupologen WS (Nephrologie)</v>
      </c>
      <c r="C690" s="3" t="str">
        <f>HYPERLINK("https://otsuka-europe-crm.veevavault.com/ui/#object/sent_email__v/VBL00000000R090", "SE-001391648")</f>
        <v>SE-001391648</v>
      </c>
      <c r="D690" s="1" t="s">
        <v>1</v>
      </c>
      <c r="E690" s="2">
        <v>0</v>
      </c>
      <c r="F690" s="2">
        <v>0</v>
      </c>
      <c r="G690" s="2">
        <v>0</v>
      </c>
      <c r="H690" s="1" t="s">
        <v>1</v>
      </c>
      <c r="I690" s="2">
        <v>0</v>
      </c>
      <c r="J690" s="1">
        <v>45985.358831018515</v>
      </c>
    </row>
    <row r="691" spans="1:10" x14ac:dyDescent="0.2">
      <c r="A691" s="4" t="s">
        <v>0</v>
      </c>
      <c r="B691" s="3" t="str">
        <f>HYPERLINK("https://otsuka-europe-crm.veevavault.com/ui/#object/approved_document__v/V5O000000009013", "VAE AT - Save the Date Lupologen WS (Nephrologie)")</f>
        <v>VAE AT - Save the Date Lupologen WS (Nephrologie)</v>
      </c>
      <c r="C691" s="3" t="str">
        <f>HYPERLINK("https://otsuka-europe-crm.veevavault.com/ui/#object/sent_email__v/VBL00000000R095", "SE-001391653")</f>
        <v>SE-001391653</v>
      </c>
      <c r="D691" s="1">
        <v>45985.608738425923</v>
      </c>
      <c r="E691" s="2">
        <v>1</v>
      </c>
      <c r="F691" s="2">
        <v>1</v>
      </c>
      <c r="G691" s="2">
        <v>1</v>
      </c>
      <c r="H691" s="1">
        <v>45985.60900462963</v>
      </c>
      <c r="I691" s="2">
        <v>2</v>
      </c>
      <c r="J691" s="1">
        <v>45985.360694444447</v>
      </c>
    </row>
    <row r="692" spans="1:10" x14ac:dyDescent="0.2">
      <c r="A692" s="4" t="s">
        <v>0</v>
      </c>
      <c r="B692" s="3" t="str">
        <f>HYPERLINK("https://otsuka-europe-crm.veevavault.com/ui/#object/approved_document__v/V5O000000009013", "VAE AT - Save the Date Lupologen WS (Nephrologie)")</f>
        <v>VAE AT - Save the Date Lupologen WS (Nephrologie)</v>
      </c>
      <c r="C692" s="3" t="str">
        <f>HYPERLINK("https://otsuka-europe-crm.veevavault.com/ui/#object/sent_email__v/VBL00000000R097", "SE-001391655")</f>
        <v>SE-001391655</v>
      </c>
      <c r="D692" s="1">
        <v>46010.272280092591</v>
      </c>
      <c r="E692" s="2">
        <v>1</v>
      </c>
      <c r="F692" s="2">
        <v>5</v>
      </c>
      <c r="G692" s="2">
        <v>0</v>
      </c>
      <c r="H692" s="1" t="s">
        <v>1</v>
      </c>
      <c r="I692" s="2">
        <v>0</v>
      </c>
      <c r="J692" s="1">
        <v>45985.361331018517</v>
      </c>
    </row>
    <row r="693" spans="1:10" x14ac:dyDescent="0.2">
      <c r="A693" s="4" t="s">
        <v>0</v>
      </c>
      <c r="B693" s="3" t="str">
        <f>HYPERLINK("https://otsuka-europe-crm.veevavault.com/ui/#object/approved_document__v/V5O000000009013", "VAE AT - Save the Date Lupologen WS (Nephrologie)")</f>
        <v>VAE AT - Save the Date Lupologen WS (Nephrologie)</v>
      </c>
      <c r="C693" s="3" t="str">
        <f>HYPERLINK("https://otsuka-europe-crm.veevavault.com/ui/#object/sent_email__v/VBL00000000R106", "SE-001391665")</f>
        <v>SE-001391665</v>
      </c>
      <c r="D693" s="1" t="s">
        <v>1</v>
      </c>
      <c r="E693" s="2">
        <v>0</v>
      </c>
      <c r="F693" s="2">
        <v>0</v>
      </c>
      <c r="G693" s="2">
        <v>0</v>
      </c>
      <c r="H693" s="1" t="s">
        <v>1</v>
      </c>
      <c r="I693" s="2">
        <v>0</v>
      </c>
      <c r="J693" s="1">
        <v>45985.365162037036</v>
      </c>
    </row>
    <row r="694" spans="1:10" x14ac:dyDescent="0.2">
      <c r="A694" s="4" t="s">
        <v>0</v>
      </c>
      <c r="B694" s="3" t="str">
        <f>HYPERLINK("https://otsuka-europe-crm.veevavault.com/ui/#object/approved_document__v/V5O000000009013", "VAE AT - Save the Date Lupologen WS (Nephrologie)")</f>
        <v>VAE AT - Save the Date Lupologen WS (Nephrologie)</v>
      </c>
      <c r="C694" s="3" t="str">
        <f>HYPERLINK("https://otsuka-europe-crm.veevavault.com/ui/#object/sent_email__v/VBL00000000R107", "SE-001391666")</f>
        <v>SE-001391666</v>
      </c>
      <c r="D694" s="1" t="s">
        <v>1</v>
      </c>
      <c r="E694" s="2">
        <v>0</v>
      </c>
      <c r="F694" s="2">
        <v>0</v>
      </c>
      <c r="G694" s="2">
        <v>0</v>
      </c>
      <c r="H694" s="1" t="s">
        <v>1</v>
      </c>
      <c r="I694" s="2">
        <v>0</v>
      </c>
      <c r="J694" s="1">
        <v>45985.365428240744</v>
      </c>
    </row>
    <row r="695" spans="1:10" x14ac:dyDescent="0.2">
      <c r="A695" s="4" t="s">
        <v>0</v>
      </c>
      <c r="B695" s="3" t="str">
        <f>HYPERLINK("https://otsuka-europe-crm.veevavault.com/ui/#object/approved_document__v/V5O000000009013", "VAE AT - Save the Date Lupologen WS (Nephrologie)")</f>
        <v>VAE AT - Save the Date Lupologen WS (Nephrologie)</v>
      </c>
      <c r="C695" s="3" t="str">
        <f>HYPERLINK("https://otsuka-europe-crm.veevavault.com/ui/#object/sent_email__v/VBL00000000R108", "SE-001391667")</f>
        <v>SE-001391667</v>
      </c>
      <c r="D695" s="1">
        <v>45985.511967592596</v>
      </c>
      <c r="E695" s="2">
        <v>1</v>
      </c>
      <c r="F695" s="2">
        <v>1</v>
      </c>
      <c r="G695" s="2">
        <v>0</v>
      </c>
      <c r="H695" s="1" t="s">
        <v>1</v>
      </c>
      <c r="I695" s="2">
        <v>0</v>
      </c>
      <c r="J695" s="1">
        <v>45985.365752314814</v>
      </c>
    </row>
    <row r="696" spans="1:10" x14ac:dyDescent="0.2">
      <c r="A696" s="4" t="s">
        <v>0</v>
      </c>
      <c r="B696" s="3" t="str">
        <f>HYPERLINK("https://otsuka-europe-crm.veevavault.com/ui/#object/approved_document__v/V5O000000009013", "VAE AT - Save the Date Lupologen WS (Nephrologie)")</f>
        <v>VAE AT - Save the Date Lupologen WS (Nephrologie)</v>
      </c>
      <c r="C696" s="3" t="str">
        <f>HYPERLINK("https://otsuka-europe-crm.veevavault.com/ui/#object/sent_email__v/VBL00000000R109", "SE-001391668")</f>
        <v>SE-001391668</v>
      </c>
      <c r="D696" s="1" t="s">
        <v>1</v>
      </c>
      <c r="E696" s="2">
        <v>0</v>
      </c>
      <c r="F696" s="2">
        <v>0</v>
      </c>
      <c r="G696" s="2">
        <v>0</v>
      </c>
      <c r="H696" s="1" t="s">
        <v>1</v>
      </c>
      <c r="I696" s="2">
        <v>0</v>
      </c>
      <c r="J696" s="1">
        <v>45985.366053240738</v>
      </c>
    </row>
    <row r="697" spans="1:10" x14ac:dyDescent="0.2">
      <c r="A697" s="4" t="s">
        <v>0</v>
      </c>
      <c r="B697" s="3" t="str">
        <f>HYPERLINK("https://otsuka-europe-crm.veevavault.com/ui/#object/approved_document__v/V5O000000009013", "VAE AT - Save the Date Lupologen WS (Nephrologie)")</f>
        <v>VAE AT - Save the Date Lupologen WS (Nephrologie)</v>
      </c>
      <c r="C697" s="3" t="str">
        <f>HYPERLINK("https://otsuka-europe-crm.veevavault.com/ui/#object/sent_email__v/VBL00000000R110", "SE-001391669")</f>
        <v>SE-001391669</v>
      </c>
      <c r="D697" s="1" t="s">
        <v>1</v>
      </c>
      <c r="E697" s="2">
        <v>0</v>
      </c>
      <c r="F697" s="2">
        <v>0</v>
      </c>
      <c r="G697" s="2">
        <v>0</v>
      </c>
      <c r="H697" s="1" t="s">
        <v>1</v>
      </c>
      <c r="I697" s="2">
        <v>0</v>
      </c>
      <c r="J697" s="1">
        <v>45985.366342592592</v>
      </c>
    </row>
    <row r="698" spans="1:10" x14ac:dyDescent="0.2">
      <c r="A698" s="4" t="s">
        <v>0</v>
      </c>
      <c r="B698" s="3" t="str">
        <f>HYPERLINK("https://otsuka-europe-crm.veevavault.com/ui/#object/approved_document__v/V5O000000009013", "VAE AT - Save the Date Lupologen WS (Nephrologie)")</f>
        <v>VAE AT - Save the Date Lupologen WS (Nephrologie)</v>
      </c>
      <c r="C698" s="3" t="str">
        <f>HYPERLINK("https://otsuka-europe-crm.veevavault.com/ui/#object/sent_email__v/VBL00000000S022", "SE-001391671")</f>
        <v>SE-001391671</v>
      </c>
      <c r="D698" s="1">
        <v>45985.367789351854</v>
      </c>
      <c r="E698" s="2">
        <v>1</v>
      </c>
      <c r="F698" s="2">
        <v>1</v>
      </c>
      <c r="G698" s="2">
        <v>0</v>
      </c>
      <c r="H698" s="1" t="s">
        <v>1</v>
      </c>
      <c r="I698" s="2">
        <v>0</v>
      </c>
      <c r="J698" s="1">
        <v>45985.367384259262</v>
      </c>
    </row>
    <row r="699" spans="1:10" x14ac:dyDescent="0.2">
      <c r="A699" s="4" t="s">
        <v>0</v>
      </c>
      <c r="B699" s="3" t="str">
        <f>HYPERLINK("https://otsuka-europe-crm.veevavault.com/ui/#object/approved_document__v/V5O000000009013", "VAE AT - Save the Date Lupologen WS (Nephrologie)")</f>
        <v>VAE AT - Save the Date Lupologen WS (Nephrologie)</v>
      </c>
      <c r="C699" s="3" t="str">
        <f>HYPERLINK("https://otsuka-europe-crm.veevavault.com/ui/#object/sent_email__v/VBL00000000R114", "SE-001391675")</f>
        <v>SE-001391675</v>
      </c>
      <c r="D699" s="1" t="s">
        <v>1</v>
      </c>
      <c r="E699" s="2">
        <v>0</v>
      </c>
      <c r="F699" s="2">
        <v>0</v>
      </c>
      <c r="G699" s="2">
        <v>0</v>
      </c>
      <c r="H699" s="1" t="s">
        <v>1</v>
      </c>
      <c r="I699" s="2">
        <v>0</v>
      </c>
      <c r="J699" s="1">
        <v>45985.370081018518</v>
      </c>
    </row>
    <row r="700" spans="1:10" x14ac:dyDescent="0.2">
      <c r="A700" s="4" t="s">
        <v>0</v>
      </c>
      <c r="B700" s="3" t="str">
        <f>HYPERLINK("https://otsuka-europe-crm.veevavault.com/ui/#object/approved_document__v/V5O000000009013", "VAE AT - Save the Date Lupologen WS (Nephrologie)")</f>
        <v>VAE AT - Save the Date Lupologen WS (Nephrologie)</v>
      </c>
      <c r="C700" s="3" t="str">
        <f>HYPERLINK("https://otsuka-europe-crm.veevavault.com/ui/#object/sent_email__v/VBL00000000R115", "SE-001391676")</f>
        <v>SE-001391676</v>
      </c>
      <c r="D700" s="1">
        <v>45987.666967592595</v>
      </c>
      <c r="E700" s="2">
        <v>1</v>
      </c>
      <c r="F700" s="2">
        <v>3</v>
      </c>
      <c r="G700" s="2">
        <v>0</v>
      </c>
      <c r="H700" s="1" t="s">
        <v>1</v>
      </c>
      <c r="I700" s="2">
        <v>0</v>
      </c>
      <c r="J700" s="1">
        <v>45985.370347222219</v>
      </c>
    </row>
    <row r="701" spans="1:10" x14ac:dyDescent="0.2">
      <c r="A701" s="4" t="s">
        <v>0</v>
      </c>
      <c r="B701" s="3" t="str">
        <f>HYPERLINK("https://otsuka-europe-crm.veevavault.com/ui/#object/approved_document__v/V5O000000009013", "VAE AT - Save the Date Lupologen WS (Nephrologie)")</f>
        <v>VAE AT - Save the Date Lupologen WS (Nephrologie)</v>
      </c>
      <c r="C701" s="3" t="str">
        <f>HYPERLINK("https://otsuka-europe-crm.veevavault.com/ui/#object/sent_email__v/VBL00000000R116", "SE-001391678")</f>
        <v>SE-001391678</v>
      </c>
      <c r="D701" s="1" t="s">
        <v>1</v>
      </c>
      <c r="E701" s="2">
        <v>0</v>
      </c>
      <c r="F701" s="2">
        <v>0</v>
      </c>
      <c r="G701" s="2">
        <v>0</v>
      </c>
      <c r="H701" s="1" t="s">
        <v>1</v>
      </c>
      <c r="I701" s="2">
        <v>0</v>
      </c>
      <c r="J701" s="1">
        <v>45985.38008101852</v>
      </c>
    </row>
    <row r="702" spans="1:10" x14ac:dyDescent="0.2">
      <c r="A702" s="4" t="s">
        <v>0</v>
      </c>
      <c r="B702" s="3" t="str">
        <f>HYPERLINK("https://otsuka-europe-crm.veevavault.com/ui/#object/approved_document__v/V5O000000009013", "VAE AT - Save the Date Lupologen WS (Nephrologie)")</f>
        <v>VAE AT - Save the Date Lupologen WS (Nephrologie)</v>
      </c>
      <c r="C702" s="3" t="str">
        <f>HYPERLINK("https://otsuka-europe-crm.veevavault.com/ui/#object/sent_email__v/VBL00000000R117", "SE-001391679")</f>
        <v>SE-001391679</v>
      </c>
      <c r="D702" s="1" t="s">
        <v>1</v>
      </c>
      <c r="E702" s="2">
        <v>0</v>
      </c>
      <c r="F702" s="2">
        <v>0</v>
      </c>
      <c r="G702" s="2">
        <v>0</v>
      </c>
      <c r="H702" s="1" t="s">
        <v>1</v>
      </c>
      <c r="I702" s="2">
        <v>0</v>
      </c>
      <c r="J702" s="1">
        <v>45985.380590277775</v>
      </c>
    </row>
    <row r="703" spans="1:10" x14ac:dyDescent="0.2">
      <c r="A703" s="4" t="s">
        <v>0</v>
      </c>
      <c r="B703" s="3" t="str">
        <f>HYPERLINK("https://otsuka-europe-crm.veevavault.com/ui/#object/approved_document__v/V5O000000009013", "VAE AT - Save the Date Lupologen WS (Nephrologie)")</f>
        <v>VAE AT - Save the Date Lupologen WS (Nephrologie)</v>
      </c>
      <c r="C703" s="3" t="str">
        <f>HYPERLINK("https://otsuka-europe-crm.veevavault.com/ui/#object/sent_email__v/VBL00000000S044", "SE-001391700")</f>
        <v>SE-001391700</v>
      </c>
      <c r="D703" s="1" t="s">
        <v>1</v>
      </c>
      <c r="E703" s="2">
        <v>0</v>
      </c>
      <c r="F703" s="2">
        <v>0</v>
      </c>
      <c r="G703" s="2">
        <v>0</v>
      </c>
      <c r="H703" s="1" t="s">
        <v>1</v>
      </c>
      <c r="I703" s="2">
        <v>0</v>
      </c>
      <c r="J703" s="1">
        <v>45985.43849537037</v>
      </c>
    </row>
    <row r="704" spans="1:10" x14ac:dyDescent="0.2">
      <c r="A704" s="4" t="s">
        <v>0</v>
      </c>
      <c r="B704" s="3" t="str">
        <f>HYPERLINK("https://otsuka-europe-crm.veevavault.com/ui/#object/approved_document__v/V5O000000009013", "VAE AT - Save the Date Lupologen WS (Nephrologie)")</f>
        <v>VAE AT - Save the Date Lupologen WS (Nephrologie)</v>
      </c>
      <c r="C704" s="3" t="str">
        <f>HYPERLINK("https://otsuka-europe-crm.veevavault.com/ui/#object/sent_email__v/VBL00000000R137", "SE-001391708")</f>
        <v>SE-001391708</v>
      </c>
      <c r="D704" s="1" t="s">
        <v>1</v>
      </c>
      <c r="E704" s="2">
        <v>0</v>
      </c>
      <c r="F704" s="2">
        <v>0</v>
      </c>
      <c r="G704" s="2">
        <v>0</v>
      </c>
      <c r="H704" s="1" t="s">
        <v>1</v>
      </c>
      <c r="I704" s="2">
        <v>0</v>
      </c>
      <c r="J704" s="1">
        <v>45985.455787037034</v>
      </c>
    </row>
    <row r="705" spans="1:10" x14ac:dyDescent="0.2">
      <c r="A705" s="4" t="s">
        <v>0</v>
      </c>
      <c r="B705" s="3" t="str">
        <f>HYPERLINK("https://otsuka-europe-crm.veevavault.com/ui/#object/approved_document__v/V5O000000009013", "VAE AT - Save the Date Lupologen WS (Nephrologie)")</f>
        <v>VAE AT - Save the Date Lupologen WS (Nephrologie)</v>
      </c>
      <c r="C705" s="3" t="str">
        <f>HYPERLINK("https://otsuka-europe-crm.veevavault.com/ui/#object/sent_email__v/VBL00000000R139", "SE-001391710")</f>
        <v>SE-001391710</v>
      </c>
      <c r="D705" s="1" t="s">
        <v>1</v>
      </c>
      <c r="E705" s="2">
        <v>0</v>
      </c>
      <c r="F705" s="2">
        <v>0</v>
      </c>
      <c r="G705" s="2">
        <v>0</v>
      </c>
      <c r="H705" s="1" t="s">
        <v>1</v>
      </c>
      <c r="I705" s="2">
        <v>0</v>
      </c>
      <c r="J705" s="1">
        <v>45985.456736111111</v>
      </c>
    </row>
    <row r="706" spans="1:10" x14ac:dyDescent="0.2">
      <c r="A706" s="4" t="s">
        <v>0</v>
      </c>
      <c r="B706" s="3" t="str">
        <f>HYPERLINK("https://otsuka-europe-crm.veevavault.com/ui/#object/approved_document__v/V5O000000009013", "VAE AT - Save the Date Lupologen WS (Nephrologie)")</f>
        <v>VAE AT - Save the Date Lupologen WS (Nephrologie)</v>
      </c>
      <c r="C706" s="3" t="str">
        <f>HYPERLINK("https://otsuka-europe-crm.veevavault.com/ui/#object/sent_email__v/VBL00000000R140", "SE-001391711")</f>
        <v>SE-001391711</v>
      </c>
      <c r="D706" s="1" t="s">
        <v>1</v>
      </c>
      <c r="E706" s="2">
        <v>0</v>
      </c>
      <c r="F706" s="2">
        <v>0</v>
      </c>
      <c r="G706" s="2">
        <v>0</v>
      </c>
      <c r="H706" s="1" t="s">
        <v>1</v>
      </c>
      <c r="I706" s="2">
        <v>0</v>
      </c>
      <c r="J706" s="1">
        <v>45985.457048611112</v>
      </c>
    </row>
    <row r="707" spans="1:10" x14ac:dyDescent="0.2">
      <c r="A707" s="4" t="s">
        <v>0</v>
      </c>
      <c r="B707" s="3" t="str">
        <f>HYPERLINK("https://otsuka-europe-crm.veevavault.com/ui/#object/approved_document__v/V5O000000009013", "VAE AT - Save the Date Lupologen WS (Nephrologie)")</f>
        <v>VAE AT - Save the Date Lupologen WS (Nephrologie)</v>
      </c>
      <c r="C707" s="3" t="str">
        <f>HYPERLINK("https://otsuka-europe-crm.veevavault.com/ui/#object/sent_email__v/VBL00000000R142", "SE-001391713")</f>
        <v>SE-001391713</v>
      </c>
      <c r="D707" s="1" t="s">
        <v>1</v>
      </c>
      <c r="E707" s="2">
        <v>0</v>
      </c>
      <c r="F707" s="2">
        <v>0</v>
      </c>
      <c r="G707" s="2">
        <v>0</v>
      </c>
      <c r="H707" s="1" t="s">
        <v>1</v>
      </c>
      <c r="I707" s="2">
        <v>0</v>
      </c>
      <c r="J707" s="1">
        <v>45985.457777777781</v>
      </c>
    </row>
    <row r="708" spans="1:10" x14ac:dyDescent="0.2">
      <c r="A708" s="4" t="s">
        <v>0</v>
      </c>
      <c r="B708" s="3" t="str">
        <f>HYPERLINK("https://otsuka-europe-crm.veevavault.com/ui/#object/approved_document__v/V5OZ025E82U22W3", "VAE AT - Symposiumsbericht ÖGN Wintermeeting 2025 (Infektiologie)")</f>
        <v>VAE AT - Symposiumsbericht ÖGN Wintermeeting 2025 (Infektiologie)</v>
      </c>
      <c r="C708" s="3" t="str">
        <f>HYPERLINK("https://otsuka-europe-crm.veevavault.com/ui/#object/sent_email__v/VBLZ025E82H9195", "SE-000283075")</f>
        <v>SE-000283075</v>
      </c>
      <c r="D708" s="1" t="s">
        <v>1</v>
      </c>
      <c r="E708" s="2">
        <v>0</v>
      </c>
      <c r="F708" s="2">
        <v>0</v>
      </c>
      <c r="G708" s="2">
        <v>0</v>
      </c>
      <c r="H708" s="1" t="s">
        <v>1</v>
      </c>
      <c r="I708" s="2">
        <v>0</v>
      </c>
      <c r="J708" s="1">
        <v>45933.361932870372</v>
      </c>
    </row>
    <row r="709" spans="1:10" x14ac:dyDescent="0.2">
      <c r="A709" s="4" t="s">
        <v>0</v>
      </c>
      <c r="B709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09" s="3" t="str">
        <f>HYPERLINK("https://otsuka-europe-crm.veevavault.com/ui/#object/sent_email__v/VBLZ025E82H913L", "SE-000283073")</f>
        <v>SE-000283073</v>
      </c>
      <c r="D709" s="1" t="s">
        <v>1</v>
      </c>
      <c r="E709" s="2">
        <v>0</v>
      </c>
      <c r="F709" s="2">
        <v>0</v>
      </c>
      <c r="G709" s="2">
        <v>0</v>
      </c>
      <c r="H709" s="1" t="s">
        <v>1</v>
      </c>
      <c r="I709" s="2">
        <v>0</v>
      </c>
      <c r="J709" s="1">
        <v>45933.361273148148</v>
      </c>
    </row>
    <row r="710" spans="1:10" x14ac:dyDescent="0.2">
      <c r="A710" s="4" t="s">
        <v>0</v>
      </c>
      <c r="B710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0" s="3" t="str">
        <f>HYPERLINK("https://otsuka-europe-crm.veevavault.com/ui/#object/sent_email__v/VBLZ025E82H91BX", "SE-000283076")</f>
        <v>SE-000283076</v>
      </c>
      <c r="D710" s="1" t="s">
        <v>1</v>
      </c>
      <c r="E710" s="2">
        <v>0</v>
      </c>
      <c r="F710" s="2">
        <v>0</v>
      </c>
      <c r="G710" s="2">
        <v>0</v>
      </c>
      <c r="H710" s="1" t="s">
        <v>1</v>
      </c>
      <c r="I710" s="2">
        <v>0</v>
      </c>
      <c r="J710" s="1">
        <v>45933.362372685187</v>
      </c>
    </row>
    <row r="711" spans="1:10" x14ac:dyDescent="0.2">
      <c r="A711" s="4" t="s">
        <v>0</v>
      </c>
      <c r="B711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1" s="3" t="str">
        <f>HYPERLINK("https://otsuka-europe-crm.veevavault.com/ui/#object/sent_email__v/VBLZ025E82H91EP", "SE-000283077")</f>
        <v>SE-000283077</v>
      </c>
      <c r="D711" s="1" t="s">
        <v>1</v>
      </c>
      <c r="E711" s="2">
        <v>0</v>
      </c>
      <c r="F711" s="2">
        <v>0</v>
      </c>
      <c r="G711" s="2">
        <v>0</v>
      </c>
      <c r="H711" s="1" t="s">
        <v>1</v>
      </c>
      <c r="I711" s="2">
        <v>0</v>
      </c>
      <c r="J711" s="1">
        <v>45933.362754629627</v>
      </c>
    </row>
    <row r="712" spans="1:10" x14ac:dyDescent="0.2">
      <c r="A712" s="4" t="s">
        <v>0</v>
      </c>
      <c r="B712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2" s="3" t="str">
        <f>HYPERLINK("https://otsuka-europe-crm.veevavault.com/ui/#object/sent_email__v/VBLZ025E82H91K9", "SE-000283079")</f>
        <v>SE-000283079</v>
      </c>
      <c r="D712" s="1" t="s">
        <v>1</v>
      </c>
      <c r="E712" s="2">
        <v>0</v>
      </c>
      <c r="F712" s="2">
        <v>0</v>
      </c>
      <c r="G712" s="2">
        <v>0</v>
      </c>
      <c r="H712" s="1" t="s">
        <v>1</v>
      </c>
      <c r="I712" s="2">
        <v>0</v>
      </c>
      <c r="J712" s="1">
        <v>45933.363113425927</v>
      </c>
    </row>
    <row r="713" spans="1:10" x14ac:dyDescent="0.2">
      <c r="A713" s="4" t="s">
        <v>0</v>
      </c>
      <c r="B713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3" s="3" t="str">
        <f>HYPERLINK("https://otsuka-europe-crm.veevavault.com/ui/#object/sent_email__v/VBLZ025E82H91N1", "SE-000283080")</f>
        <v>SE-000283080</v>
      </c>
      <c r="D713" s="1">
        <v>45933.798391203702</v>
      </c>
      <c r="E713" s="2">
        <v>1</v>
      </c>
      <c r="F713" s="2">
        <v>1</v>
      </c>
      <c r="G713" s="2">
        <v>1</v>
      </c>
      <c r="H713" s="1">
        <v>45933.798391203702</v>
      </c>
      <c r="I713" s="2">
        <v>1</v>
      </c>
      <c r="J713" s="1">
        <v>45933.36346064815</v>
      </c>
    </row>
    <row r="714" spans="1:10" x14ac:dyDescent="0.2">
      <c r="A714" s="4" t="s">
        <v>0</v>
      </c>
      <c r="B714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4" s="3" t="str">
        <f>HYPERLINK("https://otsuka-europe-crm.veevavault.com/ui/#object/sent_email__v/VBLZ025E82H91SL", "SE-000283082")</f>
        <v>SE-000283082</v>
      </c>
      <c r="D714" s="1" t="s">
        <v>1</v>
      </c>
      <c r="E714" s="2">
        <v>0</v>
      </c>
      <c r="F714" s="2">
        <v>0</v>
      </c>
      <c r="G714" s="2">
        <v>0</v>
      </c>
      <c r="H714" s="1" t="s">
        <v>1</v>
      </c>
      <c r="I714" s="2">
        <v>0</v>
      </c>
      <c r="J714" s="1">
        <v>45933.36378472222</v>
      </c>
    </row>
    <row r="715" spans="1:10" x14ac:dyDescent="0.2">
      <c r="A715" s="4" t="s">
        <v>0</v>
      </c>
      <c r="B715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5" s="3" t="str">
        <f>HYPERLINK("https://otsuka-europe-crm.veevavault.com/ui/#object/sent_email__v/VBLZ025E82H91Y5", "SE-000283083")</f>
        <v>SE-000283083</v>
      </c>
      <c r="D715" s="1" t="s">
        <v>1</v>
      </c>
      <c r="E715" s="2">
        <v>0</v>
      </c>
      <c r="F715" s="2">
        <v>0</v>
      </c>
      <c r="G715" s="2">
        <v>0</v>
      </c>
      <c r="H715" s="1" t="s">
        <v>1</v>
      </c>
      <c r="I715" s="2">
        <v>0</v>
      </c>
      <c r="J715" s="1">
        <v>45933.364363425928</v>
      </c>
    </row>
    <row r="716" spans="1:10" x14ac:dyDescent="0.2">
      <c r="A716" s="4" t="s">
        <v>0</v>
      </c>
      <c r="B716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6" s="3" t="str">
        <f>HYPERLINK("https://otsuka-europe-crm.veevavault.com/ui/#object/sent_email__v/VBLZ025E82H920X", "SE-000283084")</f>
        <v>SE-000283084</v>
      </c>
      <c r="D716" s="1" t="s">
        <v>1</v>
      </c>
      <c r="E716" s="2">
        <v>0</v>
      </c>
      <c r="F716" s="2">
        <v>0</v>
      </c>
      <c r="G716" s="2">
        <v>0</v>
      </c>
      <c r="H716" s="1" t="s">
        <v>1</v>
      </c>
      <c r="I716" s="2">
        <v>0</v>
      </c>
      <c r="J716" s="1">
        <v>45933.364675925928</v>
      </c>
    </row>
    <row r="717" spans="1:10" x14ac:dyDescent="0.2">
      <c r="A717" s="4" t="s">
        <v>0</v>
      </c>
      <c r="B717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7" s="3" t="str">
        <f>HYPERLINK("https://otsuka-europe-crm.veevavault.com/ui/#object/sent_email__v/VBLZ025E82H923P", "SE-000283085")</f>
        <v>SE-000283085</v>
      </c>
      <c r="D717" s="1">
        <v>45933.628263888888</v>
      </c>
      <c r="E717" s="2">
        <v>1</v>
      </c>
      <c r="F717" s="2">
        <v>1</v>
      </c>
      <c r="G717" s="2">
        <v>0</v>
      </c>
      <c r="H717" s="1" t="s">
        <v>1</v>
      </c>
      <c r="I717" s="2">
        <v>0</v>
      </c>
      <c r="J717" s="1">
        <v>45933.364965277775</v>
      </c>
    </row>
    <row r="718" spans="1:10" x14ac:dyDescent="0.2">
      <c r="A718" s="4" t="s">
        <v>0</v>
      </c>
      <c r="B718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8" s="3" t="str">
        <f>HYPERLINK("https://otsuka-europe-crm.veevavault.com/ui/#object/sent_email__v/VBLZ025E82H92N5", "SE-000283090")</f>
        <v>SE-000283090</v>
      </c>
      <c r="D718" s="1" t="s">
        <v>1</v>
      </c>
      <c r="E718" s="2">
        <v>0</v>
      </c>
      <c r="F718" s="2">
        <v>0</v>
      </c>
      <c r="G718" s="2">
        <v>0</v>
      </c>
      <c r="H718" s="1" t="s">
        <v>1</v>
      </c>
      <c r="I718" s="2">
        <v>0</v>
      </c>
      <c r="J718" s="1">
        <v>45933.366574074076</v>
      </c>
    </row>
    <row r="719" spans="1:10" x14ac:dyDescent="0.2">
      <c r="A719" s="4" t="s">
        <v>0</v>
      </c>
      <c r="B719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19" s="3" t="str">
        <f>HYPERLINK("https://otsuka-europe-crm.veevavault.com/ui/#object/sent_email__v/VBLZ025E82H92SP", "SE-000283092")</f>
        <v>SE-000283092</v>
      </c>
      <c r="D719" s="1">
        <v>45933.679618055554</v>
      </c>
      <c r="E719" s="2">
        <v>1</v>
      </c>
      <c r="F719" s="2">
        <v>1</v>
      </c>
      <c r="G719" s="2">
        <v>0</v>
      </c>
      <c r="H719" s="1" t="s">
        <v>1</v>
      </c>
      <c r="I719" s="2">
        <v>0</v>
      </c>
      <c r="J719" s="1">
        <v>45933.366851851853</v>
      </c>
    </row>
    <row r="720" spans="1:10" x14ac:dyDescent="0.2">
      <c r="A720" s="4" t="s">
        <v>0</v>
      </c>
      <c r="B720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0" s="3" t="str">
        <f>HYPERLINK("https://otsuka-europe-crm.veevavault.com/ui/#object/sent_email__v/VBLZ025E82H9311", "SE-000283095")</f>
        <v>SE-000283095</v>
      </c>
      <c r="D720" s="1" t="s">
        <v>1</v>
      </c>
      <c r="E720" s="2">
        <v>0</v>
      </c>
      <c r="F720" s="2">
        <v>0</v>
      </c>
      <c r="G720" s="2">
        <v>0</v>
      </c>
      <c r="H720" s="1" t="s">
        <v>1</v>
      </c>
      <c r="I720" s="2">
        <v>0</v>
      </c>
      <c r="J720" s="1">
        <v>45933.3672337963</v>
      </c>
    </row>
    <row r="721" spans="1:10" x14ac:dyDescent="0.2">
      <c r="A721" s="4" t="s">
        <v>0</v>
      </c>
      <c r="B721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1" s="3" t="str">
        <f>HYPERLINK("https://otsuka-europe-crm.veevavault.com/ui/#object/sent_email__v/VBLZ025E82H933T", "SE-000283097")</f>
        <v>SE-000283097</v>
      </c>
      <c r="D721" s="1" t="s">
        <v>1</v>
      </c>
      <c r="E721" s="2">
        <v>0</v>
      </c>
      <c r="F721" s="2">
        <v>0</v>
      </c>
      <c r="G721" s="2">
        <v>0</v>
      </c>
      <c r="H721" s="1" t="s">
        <v>1</v>
      </c>
      <c r="I721" s="2">
        <v>0</v>
      </c>
      <c r="J721" s="1">
        <v>45933.367962962962</v>
      </c>
    </row>
    <row r="722" spans="1:10" x14ac:dyDescent="0.2">
      <c r="A722" s="4" t="s">
        <v>0</v>
      </c>
      <c r="B722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2" s="3" t="str">
        <f>HYPERLINK("https://otsuka-europe-crm.veevavault.com/ui/#object/sent_email__v/VBLZ025E82H936L", "SE-000283098")</f>
        <v>SE-000283098</v>
      </c>
      <c r="D722" s="1" t="s">
        <v>1</v>
      </c>
      <c r="E722" s="2">
        <v>0</v>
      </c>
      <c r="F722" s="2">
        <v>0</v>
      </c>
      <c r="G722" s="2">
        <v>0</v>
      </c>
      <c r="H722" s="1" t="s">
        <v>1</v>
      </c>
      <c r="I722" s="2">
        <v>0</v>
      </c>
      <c r="J722" s="1">
        <v>45933.368287037039</v>
      </c>
    </row>
    <row r="723" spans="1:10" x14ac:dyDescent="0.2">
      <c r="A723" s="4" t="s">
        <v>0</v>
      </c>
      <c r="B723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3" s="3" t="str">
        <f>HYPERLINK("https://otsuka-europe-crm.veevavault.com/ui/#object/sent_email__v/VBLZ025E82H939D", "SE-000283099")</f>
        <v>SE-000283099</v>
      </c>
      <c r="D723" s="1" t="s">
        <v>1</v>
      </c>
      <c r="E723" s="2">
        <v>0</v>
      </c>
      <c r="F723" s="2">
        <v>0</v>
      </c>
      <c r="G723" s="2">
        <v>0</v>
      </c>
      <c r="H723" s="1" t="s">
        <v>1</v>
      </c>
      <c r="I723" s="2">
        <v>0</v>
      </c>
      <c r="J723" s="1">
        <v>45933.369351851848</v>
      </c>
    </row>
    <row r="724" spans="1:10" x14ac:dyDescent="0.2">
      <c r="A724" s="4" t="s">
        <v>0</v>
      </c>
      <c r="B724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4" s="3" t="str">
        <f>HYPERLINK("https://otsuka-europe-crm.veevavault.com/ui/#object/sent_email__v/VBLZ025E82H93EX", "SE-000283100")</f>
        <v>SE-000283100</v>
      </c>
      <c r="D724" s="1" t="s">
        <v>1</v>
      </c>
      <c r="E724" s="2">
        <v>0</v>
      </c>
      <c r="F724" s="2">
        <v>0</v>
      </c>
      <c r="G724" s="2">
        <v>0</v>
      </c>
      <c r="H724" s="1" t="s">
        <v>1</v>
      </c>
      <c r="I724" s="2">
        <v>0</v>
      </c>
      <c r="J724" s="1">
        <v>45933.369849537034</v>
      </c>
    </row>
    <row r="725" spans="1:10" x14ac:dyDescent="0.2">
      <c r="A725" s="4" t="s">
        <v>0</v>
      </c>
      <c r="B725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5" s="3" t="str">
        <f>HYPERLINK("https://otsuka-europe-crm.veevavault.com/ui/#object/sent_email__v/VBLZ025E82H93KH", "SE-000283102")</f>
        <v>SE-000283102</v>
      </c>
      <c r="D725" s="1" t="s">
        <v>1</v>
      </c>
      <c r="E725" s="2">
        <v>0</v>
      </c>
      <c r="F725" s="2">
        <v>0</v>
      </c>
      <c r="G725" s="2">
        <v>0</v>
      </c>
      <c r="H725" s="1" t="s">
        <v>1</v>
      </c>
      <c r="I725" s="2">
        <v>0</v>
      </c>
      <c r="J725" s="1">
        <v>45933.37023148148</v>
      </c>
    </row>
    <row r="726" spans="1:10" x14ac:dyDescent="0.2">
      <c r="A726" s="4" t="s">
        <v>0</v>
      </c>
      <c r="B726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6" s="3" t="str">
        <f>HYPERLINK("https://otsuka-europe-crm.veevavault.com/ui/#object/sent_email__v/VBLZ025E82H93Q1", "SE-000283104")</f>
        <v>SE-000283104</v>
      </c>
      <c r="D726" s="1" t="s">
        <v>1</v>
      </c>
      <c r="E726" s="2">
        <v>0</v>
      </c>
      <c r="F726" s="2">
        <v>0</v>
      </c>
      <c r="G726" s="2">
        <v>0</v>
      </c>
      <c r="H726" s="1" t="s">
        <v>1</v>
      </c>
      <c r="I726" s="2">
        <v>0</v>
      </c>
      <c r="J726" s="1">
        <v>45933.370636574073</v>
      </c>
    </row>
    <row r="727" spans="1:10" x14ac:dyDescent="0.2">
      <c r="A727" s="4" t="s">
        <v>0</v>
      </c>
      <c r="B727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7" s="3" t="str">
        <f>HYPERLINK("https://otsuka-europe-crm.veevavault.com/ui/#object/sent_email__v/VBLZ025E82H93YD", "SE-000283107")</f>
        <v>SE-000283107</v>
      </c>
      <c r="D727" s="1">
        <v>45996.358576388891</v>
      </c>
      <c r="E727" s="2">
        <v>1</v>
      </c>
      <c r="F727" s="2">
        <v>1</v>
      </c>
      <c r="G727" s="2">
        <v>1</v>
      </c>
      <c r="H727" s="1">
        <v>45996.358576388891</v>
      </c>
      <c r="I727" s="2">
        <v>1</v>
      </c>
      <c r="J727" s="1">
        <v>45933.372314814813</v>
      </c>
    </row>
    <row r="728" spans="1:10" x14ac:dyDescent="0.2">
      <c r="A728" s="4" t="s">
        <v>0</v>
      </c>
      <c r="B728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8" s="3" t="str">
        <f>HYPERLINK("https://otsuka-europe-crm.veevavault.com/ui/#object/sent_email__v/VBLZ025E82H943X", "SE-000283108")</f>
        <v>SE-000283108</v>
      </c>
      <c r="D728" s="1" t="s">
        <v>1</v>
      </c>
      <c r="E728" s="2">
        <v>0</v>
      </c>
      <c r="F728" s="2">
        <v>0</v>
      </c>
      <c r="G728" s="2">
        <v>0</v>
      </c>
      <c r="H728" s="1" t="s">
        <v>1</v>
      </c>
      <c r="I728" s="2">
        <v>0</v>
      </c>
      <c r="J728" s="1">
        <v>45933.372673611113</v>
      </c>
    </row>
    <row r="729" spans="1:10" x14ac:dyDescent="0.2">
      <c r="A729" s="4" t="s">
        <v>0</v>
      </c>
      <c r="B729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29" s="3" t="str">
        <f>HYPERLINK("https://otsuka-europe-crm.veevavault.com/ui/#object/sent_email__v/VBLZ025E82H946P", "SE-000283109")</f>
        <v>SE-000283109</v>
      </c>
      <c r="D729" s="1">
        <v>45933.72928240741</v>
      </c>
      <c r="E729" s="2">
        <v>1</v>
      </c>
      <c r="F729" s="2">
        <v>1</v>
      </c>
      <c r="G729" s="2">
        <v>0</v>
      </c>
      <c r="H729" s="1" t="s">
        <v>1</v>
      </c>
      <c r="I729" s="2">
        <v>0</v>
      </c>
      <c r="J729" s="1">
        <v>45933.373124999998</v>
      </c>
    </row>
    <row r="730" spans="1:10" x14ac:dyDescent="0.2">
      <c r="A730" s="4" t="s">
        <v>0</v>
      </c>
      <c r="B730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0" s="3" t="str">
        <f>HYPERLINK("https://otsuka-europe-crm.veevavault.com/ui/#object/sent_email__v/VBLZ025E82H949H", "SE-000283110")</f>
        <v>SE-000283110</v>
      </c>
      <c r="D730" s="1">
        <v>45936.319074074076</v>
      </c>
      <c r="E730" s="2">
        <v>1</v>
      </c>
      <c r="F730" s="2">
        <v>2</v>
      </c>
      <c r="G730" s="2">
        <v>1</v>
      </c>
      <c r="H730" s="1">
        <v>45936.319074074076</v>
      </c>
      <c r="I730" s="2">
        <v>2</v>
      </c>
      <c r="J730" s="1">
        <v>45933.373425925929</v>
      </c>
    </row>
    <row r="731" spans="1:10" x14ac:dyDescent="0.2">
      <c r="A731" s="4" t="s">
        <v>0</v>
      </c>
      <c r="B731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1" s="3" t="str">
        <f>HYPERLINK("https://otsuka-europe-crm.veevavault.com/ui/#object/sent_email__v/VBLZ025E82H94C9", "SE-000283111")</f>
        <v>SE-000283111</v>
      </c>
      <c r="D731" s="1" t="s">
        <v>1</v>
      </c>
      <c r="E731" s="2">
        <v>0</v>
      </c>
      <c r="F731" s="2">
        <v>0</v>
      </c>
      <c r="G731" s="2">
        <v>0</v>
      </c>
      <c r="H731" s="1" t="s">
        <v>1</v>
      </c>
      <c r="I731" s="2">
        <v>0</v>
      </c>
      <c r="J731" s="1">
        <v>45933.373842592591</v>
      </c>
    </row>
    <row r="732" spans="1:10" x14ac:dyDescent="0.2">
      <c r="A732" s="4" t="s">
        <v>0</v>
      </c>
      <c r="B732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2" s="3" t="str">
        <f>HYPERLINK("https://otsuka-europe-crm.veevavault.com/ui/#object/sent_email__v/VBLZ025E82H94F1", "SE-000283112")</f>
        <v>SE-000283112</v>
      </c>
      <c r="D732" s="1" t="s">
        <v>1</v>
      </c>
      <c r="E732" s="2">
        <v>0</v>
      </c>
      <c r="F732" s="2">
        <v>0</v>
      </c>
      <c r="G732" s="2">
        <v>0</v>
      </c>
      <c r="H732" s="1" t="s">
        <v>1</v>
      </c>
      <c r="I732" s="2">
        <v>0</v>
      </c>
      <c r="J732" s="1">
        <v>45933.374456018515</v>
      </c>
    </row>
    <row r="733" spans="1:10" x14ac:dyDescent="0.2">
      <c r="A733" s="4" t="s">
        <v>0</v>
      </c>
      <c r="B733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3" s="3" t="str">
        <f>HYPERLINK("https://otsuka-europe-crm.veevavault.com/ui/#object/sent_email__v/VBLZ025E82H94HT", "SE-000283113")</f>
        <v>SE-000283113</v>
      </c>
      <c r="D733" s="1" t="s">
        <v>1</v>
      </c>
      <c r="E733" s="2">
        <v>0</v>
      </c>
      <c r="F733" s="2">
        <v>0</v>
      </c>
      <c r="G733" s="2">
        <v>0</v>
      </c>
      <c r="H733" s="1" t="s">
        <v>1</v>
      </c>
      <c r="I733" s="2">
        <v>0</v>
      </c>
      <c r="J733" s="1">
        <v>45933.374826388892</v>
      </c>
    </row>
    <row r="734" spans="1:10" x14ac:dyDescent="0.2">
      <c r="A734" s="4" t="s">
        <v>0</v>
      </c>
      <c r="B734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4" s="3" t="str">
        <f>HYPERLINK("https://otsuka-europe-crm.veevavault.com/ui/#object/sent_email__v/VBLZ025E82H94KL", "SE-000283114")</f>
        <v>SE-000283114</v>
      </c>
      <c r="D734" s="1" t="s">
        <v>1</v>
      </c>
      <c r="E734" s="2">
        <v>0</v>
      </c>
      <c r="F734" s="2">
        <v>0</v>
      </c>
      <c r="G734" s="2">
        <v>0</v>
      </c>
      <c r="H734" s="1" t="s">
        <v>1</v>
      </c>
      <c r="I734" s="2">
        <v>0</v>
      </c>
      <c r="J734" s="1">
        <v>45933.3753125</v>
      </c>
    </row>
    <row r="735" spans="1:10" x14ac:dyDescent="0.2">
      <c r="A735" s="4" t="s">
        <v>0</v>
      </c>
      <c r="B735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5" s="3" t="str">
        <f>HYPERLINK("https://otsuka-europe-crm.veevavault.com/ui/#object/sent_email__v/VBLZ025E82H94Q5", "SE-000283115")</f>
        <v>SE-000283115</v>
      </c>
      <c r="D735" s="1">
        <v>45937.402002314811</v>
      </c>
      <c r="E735" s="2">
        <v>1</v>
      </c>
      <c r="F735" s="2">
        <v>3</v>
      </c>
      <c r="G735" s="2">
        <v>1</v>
      </c>
      <c r="H735" s="1">
        <v>45937.402037037034</v>
      </c>
      <c r="I735" s="2">
        <v>1</v>
      </c>
      <c r="J735" s="1">
        <v>45933.37572916667</v>
      </c>
    </row>
    <row r="736" spans="1:10" x14ac:dyDescent="0.2">
      <c r="A736" s="4" t="s">
        <v>0</v>
      </c>
      <c r="B736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6" s="3" t="str">
        <f>HYPERLINK("https://otsuka-europe-crm.veevavault.com/ui/#object/sent_email__v/VBLZ025E82H94SX", "SE-000283116")</f>
        <v>SE-000283116</v>
      </c>
      <c r="D736" s="1">
        <v>45936.288148148145</v>
      </c>
      <c r="E736" s="2">
        <v>1</v>
      </c>
      <c r="F736" s="2">
        <v>1</v>
      </c>
      <c r="G736" s="2">
        <v>1</v>
      </c>
      <c r="H736" s="1">
        <v>45936.288148148145</v>
      </c>
      <c r="I736" s="2">
        <v>1</v>
      </c>
      <c r="J736" s="1">
        <v>45933.375983796293</v>
      </c>
    </row>
    <row r="737" spans="1:10" x14ac:dyDescent="0.2">
      <c r="A737" s="4" t="s">
        <v>0</v>
      </c>
      <c r="B737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7" s="3" t="str">
        <f>HYPERLINK("https://otsuka-europe-crm.veevavault.com/ui/#object/sent_email__v/VBLZ025E82H94YH", "SE-000283118")</f>
        <v>SE-000283118</v>
      </c>
      <c r="D737" s="1" t="s">
        <v>1</v>
      </c>
      <c r="E737" s="2">
        <v>0</v>
      </c>
      <c r="F737" s="2">
        <v>0</v>
      </c>
      <c r="G737" s="2">
        <v>0</v>
      </c>
      <c r="H737" s="1" t="s">
        <v>1</v>
      </c>
      <c r="I737" s="2">
        <v>0</v>
      </c>
      <c r="J737" s="1">
        <v>45933.37699074074</v>
      </c>
    </row>
    <row r="738" spans="1:10" x14ac:dyDescent="0.2">
      <c r="A738" s="4" t="s">
        <v>0</v>
      </c>
      <c r="B738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8" s="3" t="str">
        <f>HYPERLINK("https://otsuka-europe-crm.veevavault.com/ui/#object/sent_email__v/VBLZ025E82H9519", "SE-000283119")</f>
        <v>SE-000283119</v>
      </c>
      <c r="D738" s="1">
        <v>45936.473275462966</v>
      </c>
      <c r="E738" s="2">
        <v>1</v>
      </c>
      <c r="F738" s="2">
        <v>1</v>
      </c>
      <c r="G738" s="2">
        <v>1</v>
      </c>
      <c r="H738" s="1">
        <v>45936.473414351851</v>
      </c>
      <c r="I738" s="2">
        <v>1</v>
      </c>
      <c r="J738" s="1">
        <v>45933.377430555556</v>
      </c>
    </row>
    <row r="739" spans="1:10" x14ac:dyDescent="0.2">
      <c r="A739" s="4" t="s">
        <v>0</v>
      </c>
      <c r="B739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39" s="3" t="str">
        <f>HYPERLINK("https://otsuka-europe-crm.veevavault.com/ui/#object/sent_email__v/VBLZ025E82H9541", "SE-000283120")</f>
        <v>SE-000283120</v>
      </c>
      <c r="D739" s="1" t="s">
        <v>1</v>
      </c>
      <c r="E739" s="2">
        <v>0</v>
      </c>
      <c r="F739" s="2">
        <v>0</v>
      </c>
      <c r="G739" s="2">
        <v>0</v>
      </c>
      <c r="H739" s="1" t="s">
        <v>1</v>
      </c>
      <c r="I739" s="2">
        <v>0</v>
      </c>
      <c r="J739" s="1">
        <v>45933.377893518518</v>
      </c>
    </row>
    <row r="740" spans="1:10" x14ac:dyDescent="0.2">
      <c r="A740" s="4" t="s">
        <v>0</v>
      </c>
      <c r="B740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0" s="3" t="str">
        <f>HYPERLINK("https://otsuka-europe-crm.veevavault.com/ui/#object/sent_email__v/VBLZ025E82H956T", "SE-000283121")</f>
        <v>SE-000283121</v>
      </c>
      <c r="D740" s="1" t="s">
        <v>1</v>
      </c>
      <c r="E740" s="2">
        <v>0</v>
      </c>
      <c r="F740" s="2">
        <v>0</v>
      </c>
      <c r="G740" s="2">
        <v>0</v>
      </c>
      <c r="H740" s="1" t="s">
        <v>1</v>
      </c>
      <c r="I740" s="2">
        <v>0</v>
      </c>
      <c r="J740" s="1">
        <v>45933.378298611111</v>
      </c>
    </row>
    <row r="741" spans="1:10" x14ac:dyDescent="0.2">
      <c r="A741" s="4" t="s">
        <v>0</v>
      </c>
      <c r="B741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1" s="3" t="str">
        <f>HYPERLINK("https://otsuka-europe-crm.veevavault.com/ui/#object/sent_email__v/VBLZ025E82H959L", "SE-000283123")</f>
        <v>SE-000283123</v>
      </c>
      <c r="D741" s="1">
        <v>46070.644768518519</v>
      </c>
      <c r="E741" s="2">
        <v>1</v>
      </c>
      <c r="F741" s="2">
        <v>1</v>
      </c>
      <c r="G741" s="2">
        <v>0</v>
      </c>
      <c r="H741" s="1" t="s">
        <v>1</v>
      </c>
      <c r="I741" s="2">
        <v>0</v>
      </c>
      <c r="J741" s="1">
        <v>45933.379236111112</v>
      </c>
    </row>
    <row r="742" spans="1:10" x14ac:dyDescent="0.2">
      <c r="A742" s="4" t="s">
        <v>0</v>
      </c>
      <c r="B742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2" s="3" t="str">
        <f>HYPERLINK("https://otsuka-europe-crm.veevavault.com/ui/#object/sent_email__v/VBLZ025E82H95KP", "SE-000283124")</f>
        <v>SE-000283124</v>
      </c>
      <c r="D742" s="1">
        <v>45933.933368055557</v>
      </c>
      <c r="E742" s="2">
        <v>1</v>
      </c>
      <c r="F742" s="2">
        <v>1</v>
      </c>
      <c r="G742" s="2">
        <v>1</v>
      </c>
      <c r="H742" s="1">
        <v>45933.933368055557</v>
      </c>
      <c r="I742" s="2">
        <v>1</v>
      </c>
      <c r="J742" s="1">
        <v>45933.379849537036</v>
      </c>
    </row>
    <row r="743" spans="1:10" x14ac:dyDescent="0.2">
      <c r="A743" s="4" t="s">
        <v>0</v>
      </c>
      <c r="B743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3" s="3" t="str">
        <f>HYPERLINK("https://otsuka-europe-crm.veevavault.com/ui/#object/sent_email__v/VBLZ025E82H96VX", "SE-000283132")</f>
        <v>SE-000283132</v>
      </c>
      <c r="D743" s="1" t="s">
        <v>1</v>
      </c>
      <c r="E743" s="2">
        <v>0</v>
      </c>
      <c r="F743" s="2">
        <v>0</v>
      </c>
      <c r="G743" s="2">
        <v>0</v>
      </c>
      <c r="H743" s="1" t="s">
        <v>1</v>
      </c>
      <c r="I743" s="2">
        <v>0</v>
      </c>
      <c r="J743" s="1">
        <v>45933.384293981479</v>
      </c>
    </row>
    <row r="744" spans="1:10" x14ac:dyDescent="0.2">
      <c r="A744" s="4" t="s">
        <v>0</v>
      </c>
      <c r="B744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4" s="3" t="str">
        <f>HYPERLINK("https://otsuka-europe-crm.veevavault.com/ui/#object/sent_email__v/VBLZ025E82H98FH", "SE-000283142")</f>
        <v>SE-000283142</v>
      </c>
      <c r="D744" s="1" t="s">
        <v>1</v>
      </c>
      <c r="E744" s="2">
        <v>0</v>
      </c>
      <c r="F744" s="2">
        <v>0</v>
      </c>
      <c r="G744" s="2">
        <v>0</v>
      </c>
      <c r="H744" s="1" t="s">
        <v>1</v>
      </c>
      <c r="I744" s="2">
        <v>0</v>
      </c>
      <c r="J744" s="1">
        <v>45933.389444444445</v>
      </c>
    </row>
    <row r="745" spans="1:10" x14ac:dyDescent="0.2">
      <c r="A745" s="4" t="s">
        <v>0</v>
      </c>
      <c r="B745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5" s="3" t="str">
        <f>HYPERLINK("https://otsuka-europe-crm.veevavault.com/ui/#object/sent_email__v/VBLZ025E82H98I9", "SE-000283143")</f>
        <v>SE-000283143</v>
      </c>
      <c r="D745" s="1" t="s">
        <v>1</v>
      </c>
      <c r="E745" s="2">
        <v>0</v>
      </c>
      <c r="F745" s="2">
        <v>0</v>
      </c>
      <c r="G745" s="2">
        <v>0</v>
      </c>
      <c r="H745" s="1" t="s">
        <v>1</v>
      </c>
      <c r="I745" s="2">
        <v>0</v>
      </c>
      <c r="J745" s="1">
        <v>45933.390011574076</v>
      </c>
    </row>
    <row r="746" spans="1:10" x14ac:dyDescent="0.2">
      <c r="A746" s="4" t="s">
        <v>0</v>
      </c>
      <c r="B746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6" s="3" t="str">
        <f>HYPERLINK("https://otsuka-europe-crm.veevavault.com/ui/#object/sent_email__v/VBLZ025E82H99Z1", "SE-000283184")</f>
        <v>SE-000283184</v>
      </c>
      <c r="D746" s="1" t="s">
        <v>1</v>
      </c>
      <c r="E746" s="2">
        <v>0</v>
      </c>
      <c r="F746" s="2">
        <v>0</v>
      </c>
      <c r="G746" s="2">
        <v>0</v>
      </c>
      <c r="H746" s="1" t="s">
        <v>1</v>
      </c>
      <c r="I746" s="2">
        <v>0</v>
      </c>
      <c r="J746" s="1">
        <v>45933.394456018519</v>
      </c>
    </row>
    <row r="747" spans="1:10" x14ac:dyDescent="0.2">
      <c r="A747" s="4" t="s">
        <v>0</v>
      </c>
      <c r="B747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7" s="3" t="str">
        <f>HYPERLINK("https://otsuka-europe-crm.veevavault.com/ui/#object/sent_email__v/VBLZ025E82H9A4L", "SE-000283185")</f>
        <v>SE-000283185</v>
      </c>
      <c r="D747" s="1" t="s">
        <v>1</v>
      </c>
      <c r="E747" s="2">
        <v>0</v>
      </c>
      <c r="F747" s="2">
        <v>0</v>
      </c>
      <c r="G747" s="2">
        <v>0</v>
      </c>
      <c r="H747" s="1" t="s">
        <v>1</v>
      </c>
      <c r="I747" s="2">
        <v>0</v>
      </c>
      <c r="J747" s="1">
        <v>45933.394965277781</v>
      </c>
    </row>
    <row r="748" spans="1:10" x14ac:dyDescent="0.2">
      <c r="A748" s="4" t="s">
        <v>0</v>
      </c>
      <c r="B748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8" s="3" t="str">
        <f>HYPERLINK("https://otsuka-europe-crm.veevavault.com/ui/#object/sent_email__v/VBLZ025E82H9A7D", "SE-000283186")</f>
        <v>SE-000283186</v>
      </c>
      <c r="D748" s="1">
        <v>45936.341273148151</v>
      </c>
      <c r="E748" s="2">
        <v>1</v>
      </c>
      <c r="F748" s="2">
        <v>1</v>
      </c>
      <c r="G748" s="2">
        <v>1</v>
      </c>
      <c r="H748" s="1">
        <v>45936.341608796298</v>
      </c>
      <c r="I748" s="2">
        <v>1</v>
      </c>
      <c r="J748" s="1">
        <v>45933.395381944443</v>
      </c>
    </row>
    <row r="749" spans="1:10" x14ac:dyDescent="0.2">
      <c r="A749" s="4" t="s">
        <v>0</v>
      </c>
      <c r="B749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49" s="3" t="str">
        <f>HYPERLINK("https://otsuka-europe-crm.veevavault.com/ui/#object/sent_email__v/VBLZ025E82H9AA5", "SE-000283187")</f>
        <v>SE-000283187</v>
      </c>
      <c r="D749" s="1">
        <v>45936.257152777776</v>
      </c>
      <c r="E749" s="2">
        <v>1</v>
      </c>
      <c r="F749" s="2">
        <v>3</v>
      </c>
      <c r="G749" s="2">
        <v>0</v>
      </c>
      <c r="H749" s="1" t="s">
        <v>1</v>
      </c>
      <c r="I749" s="2">
        <v>0</v>
      </c>
      <c r="J749" s="1">
        <v>45933.395740740743</v>
      </c>
    </row>
    <row r="750" spans="1:10" x14ac:dyDescent="0.2">
      <c r="A750" s="4" t="s">
        <v>0</v>
      </c>
      <c r="B750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0" s="3" t="str">
        <f>HYPERLINK("https://otsuka-europe-crm.veevavault.com/ui/#object/sent_email__v/VBLZ025E82H9AL9", "SE-000283211")</f>
        <v>SE-000283211</v>
      </c>
      <c r="D750" s="1" t="s">
        <v>1</v>
      </c>
      <c r="E750" s="2">
        <v>0</v>
      </c>
      <c r="F750" s="2">
        <v>0</v>
      </c>
      <c r="G750" s="2">
        <v>0</v>
      </c>
      <c r="H750" s="1" t="s">
        <v>1</v>
      </c>
      <c r="I750" s="2">
        <v>0</v>
      </c>
      <c r="J750" s="1">
        <v>45933.396898148145</v>
      </c>
    </row>
    <row r="751" spans="1:10" x14ac:dyDescent="0.2">
      <c r="A751" s="4" t="s">
        <v>0</v>
      </c>
      <c r="B751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1" s="3" t="str">
        <f>HYPERLINK("https://otsuka-europe-crm.veevavault.com/ui/#object/sent_email__v/VBLZ025E82H9ATL", "SE-000283212")</f>
        <v>SE-000283212</v>
      </c>
      <c r="D751" s="1" t="s">
        <v>1</v>
      </c>
      <c r="E751" s="2">
        <v>0</v>
      </c>
      <c r="F751" s="2">
        <v>0</v>
      </c>
      <c r="G751" s="2">
        <v>0</v>
      </c>
      <c r="H751" s="1" t="s">
        <v>1</v>
      </c>
      <c r="I751" s="2">
        <v>0</v>
      </c>
      <c r="J751" s="1">
        <v>45933.397245370368</v>
      </c>
    </row>
    <row r="752" spans="1:10" x14ac:dyDescent="0.2">
      <c r="A752" s="4" t="s">
        <v>0</v>
      </c>
      <c r="B752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2" s="3" t="str">
        <f>HYPERLINK("https://otsuka-europe-crm.veevavault.com/ui/#object/sent_email__v/VBLZ025E82H9AWD", "SE-000283213")</f>
        <v>SE-000283213</v>
      </c>
      <c r="D752" s="1" t="s">
        <v>1</v>
      </c>
      <c r="E752" s="2">
        <v>0</v>
      </c>
      <c r="F752" s="2">
        <v>0</v>
      </c>
      <c r="G752" s="2">
        <v>0</v>
      </c>
      <c r="H752" s="1" t="s">
        <v>1</v>
      </c>
      <c r="I752" s="2">
        <v>0</v>
      </c>
      <c r="J752" s="1">
        <v>45933.397650462961</v>
      </c>
    </row>
    <row r="753" spans="1:10" x14ac:dyDescent="0.2">
      <c r="A753" s="4" t="s">
        <v>0</v>
      </c>
      <c r="B753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3" s="3" t="str">
        <f>HYPERLINK("https://otsuka-europe-crm.veevavault.com/ui/#object/sent_email__v/VBLZ025E82H9B1X", "SE-000283214")</f>
        <v>SE-000283214</v>
      </c>
      <c r="D753" s="1">
        <v>45933.458506944444</v>
      </c>
      <c r="E753" s="2">
        <v>1</v>
      </c>
      <c r="F753" s="2">
        <v>1</v>
      </c>
      <c r="G753" s="2">
        <v>0</v>
      </c>
      <c r="H753" s="1" t="s">
        <v>1</v>
      </c>
      <c r="I753" s="2">
        <v>0</v>
      </c>
      <c r="J753" s="1">
        <v>45933.398101851853</v>
      </c>
    </row>
    <row r="754" spans="1:10" x14ac:dyDescent="0.2">
      <c r="A754" s="4" t="s">
        <v>0</v>
      </c>
      <c r="B754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4" s="3" t="str">
        <f>HYPERLINK("https://otsuka-europe-crm.veevavault.com/ui/#object/sent_email__v/VBLZ025E82H9BA9", "SE-000283216")</f>
        <v>SE-000283216</v>
      </c>
      <c r="D754" s="1" t="s">
        <v>1</v>
      </c>
      <c r="E754" s="2">
        <v>0</v>
      </c>
      <c r="F754" s="2">
        <v>0</v>
      </c>
      <c r="G754" s="2">
        <v>0</v>
      </c>
      <c r="H754" s="1" t="s">
        <v>1</v>
      </c>
      <c r="I754" s="2">
        <v>0</v>
      </c>
      <c r="J754" s="1">
        <v>45933.400833333333</v>
      </c>
    </row>
    <row r="755" spans="1:10" x14ac:dyDescent="0.2">
      <c r="A755" s="4" t="s">
        <v>0</v>
      </c>
      <c r="B755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5" s="3" t="str">
        <f>HYPERLINK("https://otsuka-europe-crm.veevavault.com/ui/#object/sent_email__v/VBLZ025E82H9BFT", "SE-000283217")</f>
        <v>SE-000283217</v>
      </c>
      <c r="D755" s="1" t="s">
        <v>1</v>
      </c>
      <c r="E755" s="2">
        <v>0</v>
      </c>
      <c r="F755" s="2">
        <v>0</v>
      </c>
      <c r="G755" s="2">
        <v>0</v>
      </c>
      <c r="H755" s="1" t="s">
        <v>1</v>
      </c>
      <c r="I755" s="2">
        <v>0</v>
      </c>
      <c r="J755" s="1">
        <v>45933.399456018517</v>
      </c>
    </row>
    <row r="756" spans="1:10" x14ac:dyDescent="0.2">
      <c r="A756" s="4" t="s">
        <v>0</v>
      </c>
      <c r="B756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6" s="3" t="str">
        <f>HYPERLINK("https://otsuka-europe-crm.veevavault.com/ui/#object/sent_email__v/VBLZ025E82H99Z2", "SE-000283220")</f>
        <v>SE-000283220</v>
      </c>
      <c r="D756" s="1">
        <v>45933.403229166666</v>
      </c>
      <c r="E756" s="2">
        <v>1</v>
      </c>
      <c r="F756" s="2">
        <v>1</v>
      </c>
      <c r="G756" s="2">
        <v>1</v>
      </c>
      <c r="H756" s="1">
        <v>45933.403229166666</v>
      </c>
      <c r="I756" s="2">
        <v>1</v>
      </c>
      <c r="J756" s="1">
        <v>45933.40283564815</v>
      </c>
    </row>
    <row r="757" spans="1:10" x14ac:dyDescent="0.2">
      <c r="A757" s="4" t="s">
        <v>0</v>
      </c>
      <c r="B757" s="3" t="str">
        <f>HYPERLINK("https://otsuka-europe-crm.veevavault.com/ui/#object/approved_document__v/V5OZ025E82U22W0", "VAE AT - Symposiumsbericht ÖGN Wintermeeting 2025 (Nephrologie)")</f>
        <v>VAE AT - Symposiumsbericht ÖGN Wintermeeting 2025 (Nephrologie)</v>
      </c>
      <c r="C757" s="3" t="str">
        <f>HYPERLINK("https://otsuka-europe-crm.veevavault.com/ui/#object/sent_email__v/VBLZ025E82H9C21", "SE-000283221")</f>
        <v>SE-000283221</v>
      </c>
      <c r="D757" s="1">
        <v>45984.403321759259</v>
      </c>
      <c r="E757" s="2">
        <v>1</v>
      </c>
      <c r="F757" s="2">
        <v>1</v>
      </c>
      <c r="G757" s="2">
        <v>1</v>
      </c>
      <c r="H757" s="1">
        <v>45984.403321759259</v>
      </c>
      <c r="I757" s="2">
        <v>1</v>
      </c>
      <c r="J757" s="1">
        <v>45933.403240740743</v>
      </c>
    </row>
    <row r="758" spans="1:10" x14ac:dyDescent="0.2">
      <c r="A758" s="4" t="s">
        <v>0</v>
      </c>
      <c r="B758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58" s="3" t="str">
        <f>HYPERLINK("https://otsuka-europe-crm.veevavault.com/ui/#object/sent_email__v/VBLZ025E82H94VP", "SE-000283117")</f>
        <v>SE-000283117</v>
      </c>
      <c r="D758" s="1">
        <v>45933.760960648149</v>
      </c>
      <c r="E758" s="2">
        <v>1</v>
      </c>
      <c r="F758" s="2">
        <v>1</v>
      </c>
      <c r="G758" s="2">
        <v>1</v>
      </c>
      <c r="H758" s="1">
        <v>45933.760960648149</v>
      </c>
      <c r="I758" s="2">
        <v>1</v>
      </c>
      <c r="J758" s="1">
        <v>45933.376377314817</v>
      </c>
    </row>
    <row r="759" spans="1:10" x14ac:dyDescent="0.2">
      <c r="A759" s="4" t="s">
        <v>0</v>
      </c>
      <c r="B759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59" s="3" t="str">
        <f>HYPERLINK("https://otsuka-europe-crm.veevavault.com/ui/#object/sent_email__v/VBLZ025E82H8ZBQ", "SE-000283122")</f>
        <v>SE-000283122</v>
      </c>
      <c r="D759" s="1" t="s">
        <v>1</v>
      </c>
      <c r="E759" s="2">
        <v>0</v>
      </c>
      <c r="F759" s="2">
        <v>0</v>
      </c>
      <c r="G759" s="2">
        <v>0</v>
      </c>
      <c r="H759" s="1" t="s">
        <v>1</v>
      </c>
      <c r="I759" s="2">
        <v>0</v>
      </c>
      <c r="J759" s="1">
        <v>45933.378692129627</v>
      </c>
    </row>
    <row r="760" spans="1:10" x14ac:dyDescent="0.2">
      <c r="A760" s="4" t="s">
        <v>0</v>
      </c>
      <c r="B760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0" s="3" t="str">
        <f>HYPERLINK("https://otsuka-europe-crm.veevavault.com/ui/#object/sent_email__v/VBLZ025E82H966X", "SE-000283128")</f>
        <v>SE-000283128</v>
      </c>
      <c r="D760" s="1" t="s">
        <v>1</v>
      </c>
      <c r="E760" s="2">
        <v>0</v>
      </c>
      <c r="F760" s="2">
        <v>0</v>
      </c>
      <c r="G760" s="2">
        <v>0</v>
      </c>
      <c r="H760" s="1" t="s">
        <v>1</v>
      </c>
      <c r="I760" s="2">
        <v>0</v>
      </c>
      <c r="J760" s="1">
        <v>45933.382754629631</v>
      </c>
    </row>
    <row r="761" spans="1:10" x14ac:dyDescent="0.2">
      <c r="A761" s="4" t="s">
        <v>0</v>
      </c>
      <c r="B761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1" s="3" t="str">
        <f>HYPERLINK("https://otsuka-europe-crm.veevavault.com/ui/#object/sent_email__v/VBLZ025E82H969P", "SE-000283129")</f>
        <v>SE-000283129</v>
      </c>
      <c r="D761" s="1">
        <v>45937.30369212963</v>
      </c>
      <c r="E761" s="2">
        <v>1</v>
      </c>
      <c r="F761" s="2">
        <v>1</v>
      </c>
      <c r="G761" s="2">
        <v>1</v>
      </c>
      <c r="H761" s="1">
        <v>45937.30369212963</v>
      </c>
      <c r="I761" s="2">
        <v>1</v>
      </c>
      <c r="J761" s="1">
        <v>45933.383125</v>
      </c>
    </row>
    <row r="762" spans="1:10" x14ac:dyDescent="0.2">
      <c r="A762" s="4" t="s">
        <v>0</v>
      </c>
      <c r="B762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2" s="3" t="str">
        <f>HYPERLINK("https://otsuka-europe-crm.veevavault.com/ui/#object/sent_email__v/VBLZ025E82H96KT", "SE-000283130")</f>
        <v>SE-000283130</v>
      </c>
      <c r="D762" s="1" t="s">
        <v>1</v>
      </c>
      <c r="E762" s="2">
        <v>0</v>
      </c>
      <c r="F762" s="2">
        <v>0</v>
      </c>
      <c r="G762" s="2">
        <v>0</v>
      </c>
      <c r="H762" s="1" t="s">
        <v>1</v>
      </c>
      <c r="I762" s="2">
        <v>0</v>
      </c>
      <c r="J762" s="1">
        <v>45933.383518518516</v>
      </c>
    </row>
    <row r="763" spans="1:10" x14ac:dyDescent="0.2">
      <c r="A763" s="4" t="s">
        <v>0</v>
      </c>
      <c r="B763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3" s="3" t="str">
        <f>HYPERLINK("https://otsuka-europe-crm.veevavault.com/ui/#object/sent_email__v/VBLZ025E82H96QD", "SE-000283131")</f>
        <v>SE-000283131</v>
      </c>
      <c r="D763" s="1" t="s">
        <v>1</v>
      </c>
      <c r="E763" s="2">
        <v>0</v>
      </c>
      <c r="F763" s="2">
        <v>0</v>
      </c>
      <c r="G763" s="2">
        <v>0</v>
      </c>
      <c r="H763" s="1" t="s">
        <v>1</v>
      </c>
      <c r="I763" s="2">
        <v>0</v>
      </c>
      <c r="J763" s="1">
        <v>45933.383888888886</v>
      </c>
    </row>
    <row r="764" spans="1:10" x14ac:dyDescent="0.2">
      <c r="A764" s="4" t="s">
        <v>0</v>
      </c>
      <c r="B764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4" s="3" t="str">
        <f>HYPERLINK("https://otsuka-europe-crm.veevavault.com/ui/#object/sent_email__v/VBLZ025E82H9749", "SE-000283133")</f>
        <v>SE-000283133</v>
      </c>
      <c r="D764" s="1">
        <v>45933.396168981482</v>
      </c>
      <c r="E764" s="2">
        <v>1</v>
      </c>
      <c r="F764" s="2">
        <v>1</v>
      </c>
      <c r="G764" s="2">
        <v>0</v>
      </c>
      <c r="H764" s="1" t="s">
        <v>1</v>
      </c>
      <c r="I764" s="2">
        <v>0</v>
      </c>
      <c r="J764" s="1">
        <v>45933.384814814817</v>
      </c>
    </row>
    <row r="765" spans="1:10" x14ac:dyDescent="0.2">
      <c r="A765" s="4" t="s">
        <v>0</v>
      </c>
      <c r="B765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5" s="3" t="str">
        <f>HYPERLINK("https://otsuka-europe-crm.veevavault.com/ui/#object/sent_email__v/VBLZ025E82H97KX", "SE-000283134")</f>
        <v>SE-000283134</v>
      </c>
      <c r="D765" s="1" t="s">
        <v>1</v>
      </c>
      <c r="E765" s="2">
        <v>0</v>
      </c>
      <c r="F765" s="2">
        <v>0</v>
      </c>
      <c r="G765" s="2">
        <v>0</v>
      </c>
      <c r="H765" s="1" t="s">
        <v>1</v>
      </c>
      <c r="I765" s="2">
        <v>0</v>
      </c>
      <c r="J765" s="1">
        <v>45933.385439814818</v>
      </c>
    </row>
    <row r="766" spans="1:10" x14ac:dyDescent="0.2">
      <c r="A766" s="4" t="s">
        <v>0</v>
      </c>
      <c r="B766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6" s="3" t="str">
        <f>HYPERLINK("https://otsuka-europe-crm.veevavault.com/ui/#object/sent_email__v/VBLZ025E82H93VN", "SE-000283135")</f>
        <v>SE-000283135</v>
      </c>
      <c r="D766" s="1">
        <v>45933.796782407408</v>
      </c>
      <c r="E766" s="2">
        <v>1</v>
      </c>
      <c r="F766" s="2">
        <v>1</v>
      </c>
      <c r="G766" s="2">
        <v>0</v>
      </c>
      <c r="H766" s="1" t="s">
        <v>1</v>
      </c>
      <c r="I766" s="2">
        <v>0</v>
      </c>
      <c r="J766" s="1">
        <v>45933.385763888888</v>
      </c>
    </row>
    <row r="767" spans="1:10" x14ac:dyDescent="0.2">
      <c r="A767" s="4" t="s">
        <v>0</v>
      </c>
      <c r="B767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7" s="3" t="str">
        <f>HYPERLINK("https://otsuka-europe-crm.veevavault.com/ui/#object/sent_email__v/VBLZ025E82H97T9", "SE-000283136")</f>
        <v>SE-000283136</v>
      </c>
      <c r="D767" s="1" t="s">
        <v>1</v>
      </c>
      <c r="E767" s="2">
        <v>0</v>
      </c>
      <c r="F767" s="2">
        <v>0</v>
      </c>
      <c r="G767" s="2">
        <v>0</v>
      </c>
      <c r="H767" s="1" t="s">
        <v>1</v>
      </c>
      <c r="I767" s="2">
        <v>0</v>
      </c>
      <c r="J767" s="1">
        <v>45933.386203703703</v>
      </c>
    </row>
    <row r="768" spans="1:10" x14ac:dyDescent="0.2">
      <c r="A768" s="4" t="s">
        <v>0</v>
      </c>
      <c r="B768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8" s="3" t="str">
        <f>HYPERLINK("https://otsuka-europe-crm.veevavault.com/ui/#object/sent_email__v/VBLZ025E82H97YT", "SE-000283137")</f>
        <v>SE-000283137</v>
      </c>
      <c r="D768" s="1" t="s">
        <v>1</v>
      </c>
      <c r="E768" s="2">
        <v>0</v>
      </c>
      <c r="F768" s="2">
        <v>0</v>
      </c>
      <c r="G768" s="2">
        <v>0</v>
      </c>
      <c r="H768" s="1" t="s">
        <v>1</v>
      </c>
      <c r="I768" s="2">
        <v>0</v>
      </c>
      <c r="J768" s="1">
        <v>45933.386493055557</v>
      </c>
    </row>
    <row r="769" spans="1:10" x14ac:dyDescent="0.2">
      <c r="A769" s="4" t="s">
        <v>0</v>
      </c>
      <c r="B769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69" s="3" t="str">
        <f>HYPERLINK("https://otsuka-europe-crm.veevavault.com/ui/#object/sent_email__v/VBLZ025E82H981L", "SE-000283138")</f>
        <v>SE-000283138</v>
      </c>
      <c r="D769" s="1" t="s">
        <v>1</v>
      </c>
      <c r="E769" s="2">
        <v>0</v>
      </c>
      <c r="F769" s="2">
        <v>0</v>
      </c>
      <c r="G769" s="2">
        <v>0</v>
      </c>
      <c r="H769" s="1" t="s">
        <v>1</v>
      </c>
      <c r="I769" s="2">
        <v>0</v>
      </c>
      <c r="J769" s="1">
        <v>45933.387060185189</v>
      </c>
    </row>
    <row r="770" spans="1:10" x14ac:dyDescent="0.2">
      <c r="A770" s="4" t="s">
        <v>0</v>
      </c>
      <c r="B770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0" s="3" t="str">
        <f>HYPERLINK("https://otsuka-europe-crm.veevavault.com/ui/#object/sent_email__v/VBLZ025E82H9875", "SE-000283139")</f>
        <v>SE-000283139</v>
      </c>
      <c r="D770" s="1" t="s">
        <v>1</v>
      </c>
      <c r="E770" s="2">
        <v>0</v>
      </c>
      <c r="F770" s="2">
        <v>0</v>
      </c>
      <c r="G770" s="2">
        <v>0</v>
      </c>
      <c r="H770" s="1" t="s">
        <v>1</v>
      </c>
      <c r="I770" s="2">
        <v>0</v>
      </c>
      <c r="J770" s="1">
        <v>45933.38826388889</v>
      </c>
    </row>
    <row r="771" spans="1:10" x14ac:dyDescent="0.2">
      <c r="A771" s="4" t="s">
        <v>0</v>
      </c>
      <c r="B771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1" s="3" t="str">
        <f>HYPERLINK("https://otsuka-europe-crm.veevavault.com/ui/#object/sent_email__v/VBLZ025E82H95YM", "SE-000283140")</f>
        <v>SE-000283140</v>
      </c>
      <c r="D771" s="1">
        <v>45933.404039351852</v>
      </c>
      <c r="E771" s="2">
        <v>1</v>
      </c>
      <c r="F771" s="2">
        <v>1</v>
      </c>
      <c r="G771" s="2">
        <v>0</v>
      </c>
      <c r="H771" s="1" t="s">
        <v>1</v>
      </c>
      <c r="I771" s="2">
        <v>0</v>
      </c>
      <c r="J771" s="1">
        <v>45933.38863425926</v>
      </c>
    </row>
    <row r="772" spans="1:10" x14ac:dyDescent="0.2">
      <c r="A772" s="4" t="s">
        <v>0</v>
      </c>
      <c r="B772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2" s="3" t="str">
        <f>HYPERLINK("https://otsuka-europe-crm.veevavault.com/ui/#object/sent_email__v/VBLZ025E82H98CP", "SE-000283141")</f>
        <v>SE-000283141</v>
      </c>
      <c r="D772" s="1" t="s">
        <v>1</v>
      </c>
      <c r="E772" s="2">
        <v>0</v>
      </c>
      <c r="F772" s="2">
        <v>0</v>
      </c>
      <c r="G772" s="2">
        <v>0</v>
      </c>
      <c r="H772" s="1" t="s">
        <v>1</v>
      </c>
      <c r="I772" s="2">
        <v>0</v>
      </c>
      <c r="J772" s="1">
        <v>45933.389062499999</v>
      </c>
    </row>
    <row r="773" spans="1:10" x14ac:dyDescent="0.2">
      <c r="A773" s="4" t="s">
        <v>0</v>
      </c>
      <c r="B773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3" s="3" t="str">
        <f>HYPERLINK("https://otsuka-europe-crm.veevavault.com/ui/#object/sent_email__v/VBLZ025E82H98L1", "SE-000283144")</f>
        <v>SE-000283144</v>
      </c>
      <c r="D773" s="1" t="s">
        <v>1</v>
      </c>
      <c r="E773" s="2">
        <v>0</v>
      </c>
      <c r="F773" s="2">
        <v>0</v>
      </c>
      <c r="G773" s="2">
        <v>0</v>
      </c>
      <c r="H773" s="1" t="s">
        <v>1</v>
      </c>
      <c r="I773" s="2">
        <v>0</v>
      </c>
      <c r="J773" s="1">
        <v>45933.390393518515</v>
      </c>
    </row>
    <row r="774" spans="1:10" x14ac:dyDescent="0.2">
      <c r="A774" s="4" t="s">
        <v>0</v>
      </c>
      <c r="B774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4" s="3" t="str">
        <f>HYPERLINK("https://otsuka-europe-crm.veevavault.com/ui/#object/sent_email__v/VBLZ025E82H8YEE", "SE-000283145")</f>
        <v>SE-000283145</v>
      </c>
      <c r="D774" s="1" t="s">
        <v>1</v>
      </c>
      <c r="E774" s="2">
        <v>0</v>
      </c>
      <c r="F774" s="2">
        <v>0</v>
      </c>
      <c r="G774" s="2">
        <v>0</v>
      </c>
      <c r="H774" s="1" t="s">
        <v>1</v>
      </c>
      <c r="I774" s="2">
        <v>0</v>
      </c>
      <c r="J774" s="1">
        <v>45933.390694444446</v>
      </c>
    </row>
    <row r="775" spans="1:10" x14ac:dyDescent="0.2">
      <c r="A775" s="4" t="s">
        <v>0</v>
      </c>
      <c r="B775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5" s="3" t="str">
        <f>HYPERLINK("https://otsuka-europe-crm.veevavault.com/ui/#object/sent_email__v/VBLZ025E82H98QL", "SE-000283146")</f>
        <v>SE-000283146</v>
      </c>
      <c r="D775" s="1" t="s">
        <v>1</v>
      </c>
      <c r="E775" s="2">
        <v>0</v>
      </c>
      <c r="F775" s="2">
        <v>0</v>
      </c>
      <c r="G775" s="2">
        <v>0</v>
      </c>
      <c r="H775" s="1" t="s">
        <v>1</v>
      </c>
      <c r="I775" s="2">
        <v>0</v>
      </c>
      <c r="J775" s="1">
        <v>45933.391087962962</v>
      </c>
    </row>
    <row r="776" spans="1:10" x14ac:dyDescent="0.2">
      <c r="A776" s="4" t="s">
        <v>0</v>
      </c>
      <c r="B776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6" s="3" t="str">
        <f>HYPERLINK("https://otsuka-europe-crm.veevavault.com/ui/#object/sent_email__v/VBLZ025E82H991P", "SE-000283147")</f>
        <v>SE-000283147</v>
      </c>
      <c r="D776" s="1">
        <v>45936.726875</v>
      </c>
      <c r="E776" s="2">
        <v>1</v>
      </c>
      <c r="F776" s="2">
        <v>2</v>
      </c>
      <c r="G776" s="2">
        <v>0</v>
      </c>
      <c r="H776" s="1" t="s">
        <v>1</v>
      </c>
      <c r="I776" s="2">
        <v>0</v>
      </c>
      <c r="J776" s="1">
        <v>45933.391655092593</v>
      </c>
    </row>
    <row r="777" spans="1:10" x14ac:dyDescent="0.2">
      <c r="A777" s="4" t="s">
        <v>0</v>
      </c>
      <c r="B777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7" s="3" t="str">
        <f>HYPERLINK("https://otsuka-europe-crm.veevavault.com/ui/#object/sent_email__v/VBLZ025E82H9979", "SE-000283148")</f>
        <v>SE-000283148</v>
      </c>
      <c r="D777" s="1" t="s">
        <v>1</v>
      </c>
      <c r="E777" s="2">
        <v>0</v>
      </c>
      <c r="F777" s="2">
        <v>0</v>
      </c>
      <c r="G777" s="2">
        <v>0</v>
      </c>
      <c r="H777" s="1" t="s">
        <v>1</v>
      </c>
      <c r="I777" s="2">
        <v>0</v>
      </c>
      <c r="J777" s="1">
        <v>45933.392256944448</v>
      </c>
    </row>
    <row r="778" spans="1:10" x14ac:dyDescent="0.2">
      <c r="A778" s="4" t="s">
        <v>0</v>
      </c>
      <c r="B778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8" s="3" t="str">
        <f>HYPERLINK("https://otsuka-europe-crm.veevavault.com/ui/#object/sent_email__v/VBLZ025E82H99A1", "SE-000283149")</f>
        <v>SE-000283149</v>
      </c>
      <c r="D778" s="1" t="s">
        <v>1</v>
      </c>
      <c r="E778" s="2">
        <v>0</v>
      </c>
      <c r="F778" s="2">
        <v>0</v>
      </c>
      <c r="G778" s="2">
        <v>0</v>
      </c>
      <c r="H778" s="1" t="s">
        <v>1</v>
      </c>
      <c r="I778" s="2">
        <v>0</v>
      </c>
      <c r="J778" s="1">
        <v>45933.392685185187</v>
      </c>
    </row>
    <row r="779" spans="1:10" x14ac:dyDescent="0.2">
      <c r="A779" s="4" t="s">
        <v>0</v>
      </c>
      <c r="B779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79" s="3" t="str">
        <f>HYPERLINK("https://otsuka-europe-crm.veevavault.com/ui/#object/sent_email__v/VBLZ025E82H99FL", "SE-000283150")</f>
        <v>SE-000283150</v>
      </c>
      <c r="D779" s="1" t="s">
        <v>1</v>
      </c>
      <c r="E779" s="2">
        <v>0</v>
      </c>
      <c r="F779" s="2">
        <v>0</v>
      </c>
      <c r="G779" s="2">
        <v>0</v>
      </c>
      <c r="H779" s="1" t="s">
        <v>1</v>
      </c>
      <c r="I779" s="2">
        <v>0</v>
      </c>
      <c r="J779" s="1">
        <v>45933.393009259256</v>
      </c>
    </row>
    <row r="780" spans="1:10" x14ac:dyDescent="0.2">
      <c r="A780" s="4" t="s">
        <v>0</v>
      </c>
      <c r="B780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80" s="3" t="str">
        <f>HYPERLINK("https://otsuka-europe-crm.veevavault.com/ui/#object/sent_email__v/VBLZ025E82H99QP", "SE-000283182")</f>
        <v>SE-000283182</v>
      </c>
      <c r="D780" s="1">
        <v>45933.679212962961</v>
      </c>
      <c r="E780" s="2">
        <v>1</v>
      </c>
      <c r="F780" s="2">
        <v>1</v>
      </c>
      <c r="G780" s="2">
        <v>1</v>
      </c>
      <c r="H780" s="1">
        <v>45933.680196759262</v>
      </c>
      <c r="I780" s="2">
        <v>1</v>
      </c>
      <c r="J780" s="1">
        <v>45933.393587962964</v>
      </c>
    </row>
    <row r="781" spans="1:10" x14ac:dyDescent="0.2">
      <c r="A781" s="4" t="s">
        <v>0</v>
      </c>
      <c r="B781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81" s="3" t="str">
        <f>HYPERLINK("https://otsuka-europe-crm.veevavault.com/ui/#object/sent_email__v/VBLZ025E82H99W9", "SE-000283183")</f>
        <v>SE-000283183</v>
      </c>
      <c r="D781" s="1" t="s">
        <v>1</v>
      </c>
      <c r="E781" s="2">
        <v>0</v>
      </c>
      <c r="F781" s="2">
        <v>0</v>
      </c>
      <c r="G781" s="2">
        <v>0</v>
      </c>
      <c r="H781" s="1" t="s">
        <v>1</v>
      </c>
      <c r="I781" s="2">
        <v>0</v>
      </c>
      <c r="J781" s="1">
        <v>45933.393946759257</v>
      </c>
    </row>
    <row r="782" spans="1:10" x14ac:dyDescent="0.2">
      <c r="A782" s="4" t="s">
        <v>0</v>
      </c>
      <c r="B782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82" s="3" t="str">
        <f>HYPERLINK("https://otsuka-europe-crm.veevavault.com/ui/#object/sent_email__v/VBLZ025E82H9B7H", "SE-000283215")</f>
        <v>SE-000283215</v>
      </c>
      <c r="D782" s="1">
        <v>45933.398668981485</v>
      </c>
      <c r="E782" s="2">
        <v>1</v>
      </c>
      <c r="F782" s="2">
        <v>1</v>
      </c>
      <c r="G782" s="2">
        <v>1</v>
      </c>
      <c r="H782" s="1">
        <v>45933.398668981485</v>
      </c>
      <c r="I782" s="2">
        <v>1</v>
      </c>
      <c r="J782" s="1">
        <v>45933.398611111108</v>
      </c>
    </row>
    <row r="783" spans="1:10" x14ac:dyDescent="0.2">
      <c r="A783" s="4" t="s">
        <v>0</v>
      </c>
      <c r="B783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83" s="3" t="str">
        <f>HYPERLINK("https://otsuka-europe-crm.veevavault.com/ui/#object/sent_email__v/VBLZ025E82H9CD5", "SE-000283222")</f>
        <v>SE-000283222</v>
      </c>
      <c r="D783" s="1">
        <v>45933.713414351849</v>
      </c>
      <c r="E783" s="2">
        <v>1</v>
      </c>
      <c r="F783" s="2">
        <v>1</v>
      </c>
      <c r="G783" s="2">
        <v>0</v>
      </c>
      <c r="H783" s="1" t="s">
        <v>1</v>
      </c>
      <c r="I783" s="2">
        <v>0</v>
      </c>
      <c r="J783" s="1">
        <v>45933.40388888889</v>
      </c>
    </row>
    <row r="784" spans="1:10" x14ac:dyDescent="0.2">
      <c r="A784" s="4" t="s">
        <v>0</v>
      </c>
      <c r="B784" s="3" t="str">
        <f>HYPERLINK("https://otsuka-europe-crm.veevavault.com/ui/#object/approved_document__v/V5OZ025E82U22VT", "VAE AT - Symposiumsbericht ÖGN Wintermeeting 2025 (Rheumatologie)")</f>
        <v>VAE AT - Symposiumsbericht ÖGN Wintermeeting 2025 (Rheumatologie)</v>
      </c>
      <c r="C784" s="3" t="str">
        <f>HYPERLINK("https://otsuka-europe-crm.veevavault.com/ui/#object/sent_email__v/VBLZ025E82H9CLH", "SE-000283223")</f>
        <v>SE-000283223</v>
      </c>
      <c r="D784" s="1" t="s">
        <v>1</v>
      </c>
      <c r="E784" s="2">
        <v>0</v>
      </c>
      <c r="F784" s="2">
        <v>0</v>
      </c>
      <c r="G784" s="2">
        <v>0</v>
      </c>
      <c r="H784" s="1" t="s">
        <v>1</v>
      </c>
      <c r="I784" s="2">
        <v>0</v>
      </c>
      <c r="J784" s="1">
        <v>45933.406689814816</v>
      </c>
    </row>
    <row r="785" spans="1:10" x14ac:dyDescent="0.2">
      <c r="A785" s="4" t="s">
        <v>0</v>
      </c>
      <c r="B785" s="3" t="str">
        <f>HYPERLINK("https://otsuka-europe-crm.veevavault.com/ui/#object/approved_document__v/V5OZ025E82NE0FE", "VAE AT E-REP - 3g UPCR (Nephrologie)")</f>
        <v>VAE AT E-REP - 3g UPCR (Nephrologie)</v>
      </c>
      <c r="C785" s="3" t="str">
        <f>HYPERLINK("https://otsuka-europe-crm.veevavault.com/ui/#object/sent_email__v/VBL000000011028", "SE-001396654")</f>
        <v>SE-001396654</v>
      </c>
      <c r="D785" s="1" t="s">
        <v>1</v>
      </c>
      <c r="E785" s="2">
        <v>0</v>
      </c>
      <c r="F785" s="2">
        <v>0</v>
      </c>
      <c r="G785" s="2">
        <v>0</v>
      </c>
      <c r="H785" s="1" t="s">
        <v>1</v>
      </c>
      <c r="I785" s="2">
        <v>0</v>
      </c>
      <c r="J785" s="1">
        <v>46006.468472222223</v>
      </c>
    </row>
    <row r="786" spans="1:10" x14ac:dyDescent="0.2">
      <c r="A786" s="4" t="s">
        <v>0</v>
      </c>
      <c r="B786" s="3" t="str">
        <f>HYPERLINK("https://otsuka-europe-crm.veevavault.com/ui/#object/approved_document__v/V5OZ025E82NE0FI", "VAE AT E-REP - Bericht Otsuka-Symposium ÖGN 2024 (Nephrologie)")</f>
        <v>VAE AT E-REP - Bericht Otsuka-Symposium ÖGN 2024 (Nephrologie)</v>
      </c>
      <c r="C786" s="3" t="str">
        <f>HYPERLINK("https://otsuka-europe-crm.veevavault.com/ui/#object/sent_email__v/VBLZ025E82HKP8L", "SE-000287557")</f>
        <v>SE-000287557</v>
      </c>
      <c r="D786" s="1">
        <v>45951.849456018521</v>
      </c>
      <c r="E786" s="2">
        <v>1</v>
      </c>
      <c r="F786" s="2">
        <v>2</v>
      </c>
      <c r="G786" s="2">
        <v>0</v>
      </c>
      <c r="H786" s="1" t="s">
        <v>1</v>
      </c>
      <c r="I786" s="2">
        <v>0</v>
      </c>
      <c r="J786" s="1">
        <v>45945.276377314818</v>
      </c>
    </row>
    <row r="787" spans="1:10" x14ac:dyDescent="0.2">
      <c r="A787" s="4" t="s">
        <v>0</v>
      </c>
      <c r="B787" s="3" t="str">
        <f>HYPERLINK("https://otsuka-europe-crm.veevavault.com/ui/#object/approved_document__v/V5OZ025E82NE0FI", "VAE AT E-REP - Bericht Otsuka-Symposium ÖGN 2024 (Nephrologie)")</f>
        <v>VAE AT E-REP - Bericht Otsuka-Symposium ÖGN 2024 (Nephrologie)</v>
      </c>
      <c r="C787" s="3" t="str">
        <f>HYPERLINK("https://otsuka-europe-crm.veevavault.com/ui/#object/sent_email__v/VBLZ025E82HMC19", "SE-000287918")</f>
        <v>SE-000287918</v>
      </c>
      <c r="D787" s="1" t="s">
        <v>1</v>
      </c>
      <c r="E787" s="2">
        <v>0</v>
      </c>
      <c r="F787" s="2">
        <v>0</v>
      </c>
      <c r="G787" s="2">
        <v>0</v>
      </c>
      <c r="H787" s="1" t="s">
        <v>1</v>
      </c>
      <c r="I787" s="2">
        <v>0</v>
      </c>
      <c r="J787" s="1">
        <v>45946.485868055555</v>
      </c>
    </row>
    <row r="788" spans="1:10" x14ac:dyDescent="0.2">
      <c r="A788" s="4" t="s">
        <v>0</v>
      </c>
      <c r="B788" s="3" t="str">
        <f>HYPERLINK("https://otsuka-europe-crm.veevavault.com/ui/#object/approved_document__v/V5OZ025E82NE0FI", "VAE AT E-REP - Bericht Otsuka-Symposium ÖGN 2024 (Nephrologie)")</f>
        <v>VAE AT E-REP - Bericht Otsuka-Symposium ÖGN 2024 (Nephrologie)</v>
      </c>
      <c r="C788" s="3" t="str">
        <f>HYPERLINK("https://otsuka-europe-crm.veevavault.com/ui/#object/sent_email__v/VBLZ025E82HMOAX", "SE-000287935")</f>
        <v>SE-000287935</v>
      </c>
      <c r="D788" s="1" t="s">
        <v>1</v>
      </c>
      <c r="E788" s="2">
        <v>0</v>
      </c>
      <c r="F788" s="2">
        <v>0</v>
      </c>
      <c r="G788" s="2">
        <v>0</v>
      </c>
      <c r="H788" s="1" t="s">
        <v>1</v>
      </c>
      <c r="I788" s="2">
        <v>0</v>
      </c>
      <c r="J788" s="1">
        <v>45946.601412037038</v>
      </c>
    </row>
    <row r="789" spans="1:10" x14ac:dyDescent="0.2">
      <c r="A789" s="4" t="s">
        <v>0</v>
      </c>
      <c r="B789" s="3" t="str">
        <f>HYPERLINK("https://otsuka-europe-crm.veevavault.com/ui/#object/approved_document__v/V5OZ025E82NE0FI", "VAE AT E-REP - Bericht Otsuka-Symposium ÖGN 2024 (Nephrologie)")</f>
        <v>VAE AT E-REP - Bericht Otsuka-Symposium ÖGN 2024 (Nephrologie)</v>
      </c>
      <c r="C789" s="3" t="str">
        <f>HYPERLINK("https://otsuka-europe-crm.veevavault.com/ui/#object/sent_email__v/VBLZ025E82HN9LL", "SE-000287990")</f>
        <v>SE-000287990</v>
      </c>
      <c r="D789" s="1">
        <v>45947.570185185185</v>
      </c>
      <c r="E789" s="2">
        <v>1</v>
      </c>
      <c r="F789" s="2">
        <v>2</v>
      </c>
      <c r="G789" s="2">
        <v>1</v>
      </c>
      <c r="H789" s="1">
        <v>45947.425763888888</v>
      </c>
      <c r="I789" s="2">
        <v>1</v>
      </c>
      <c r="J789" s="1">
        <v>45947.418877314813</v>
      </c>
    </row>
    <row r="790" spans="1:10" x14ac:dyDescent="0.2">
      <c r="A790" s="4" t="s">
        <v>0</v>
      </c>
      <c r="B790" s="3" t="str">
        <f>HYPERLINK("https://otsuka-europe-crm.veevavault.com/ui/#object/approved_document__v/V5OZ025E82NE0FA", "VAE AT E-REP - Bericht Otsuka-Symposium ÖGN 2024 (Rheumatologie)")</f>
        <v>VAE AT E-REP - Bericht Otsuka-Symposium ÖGN 2024 (Rheumatologie)</v>
      </c>
      <c r="C790" s="3" t="str">
        <f>HYPERLINK("https://otsuka-europe-crm.veevavault.com/ui/#object/sent_email__v/VBLZ025E82HS7AT", "SE-000290302")</f>
        <v>SE-000290302</v>
      </c>
      <c r="D790" s="1" t="s">
        <v>1</v>
      </c>
      <c r="E790" s="2">
        <v>0</v>
      </c>
      <c r="F790" s="2">
        <v>0</v>
      </c>
      <c r="G790" s="2">
        <v>0</v>
      </c>
      <c r="H790" s="1" t="s">
        <v>1</v>
      </c>
      <c r="I790" s="2">
        <v>0</v>
      </c>
      <c r="J790" s="1">
        <v>45953.428807870368</v>
      </c>
    </row>
    <row r="791" spans="1:10" x14ac:dyDescent="0.2">
      <c r="A791" s="4" t="s">
        <v>0</v>
      </c>
      <c r="B791" s="3" t="str">
        <f>HYPERLINK("https://otsuka-europe-crm.veevavault.com/ui/#object/approved_document__v/V5OZ025E82NE0FA", "VAE AT E-REP - Bericht Otsuka-Symposium ÖGN 2024 (Rheumatologie)")</f>
        <v>VAE AT E-REP - Bericht Otsuka-Symposium ÖGN 2024 (Rheumatologie)</v>
      </c>
      <c r="C791" s="3" t="str">
        <f>HYPERLINK("https://otsuka-europe-crm.veevavault.com/ui/#object/sent_email__v/VBL000000006133", "SE-001381192")</f>
        <v>SE-001381192</v>
      </c>
      <c r="D791" s="1" t="s">
        <v>1</v>
      </c>
      <c r="E791" s="2">
        <v>0</v>
      </c>
      <c r="F791" s="2">
        <v>0</v>
      </c>
      <c r="G791" s="2">
        <v>0</v>
      </c>
      <c r="H791" s="1" t="s">
        <v>1</v>
      </c>
      <c r="I791" s="2">
        <v>0</v>
      </c>
      <c r="J791" s="1">
        <v>45967.430451388886</v>
      </c>
    </row>
    <row r="792" spans="1:10" x14ac:dyDescent="0.2">
      <c r="A792" s="4" t="s">
        <v>0</v>
      </c>
      <c r="B792" s="3" t="str">
        <f>HYPERLINK("https://otsuka-europe-crm.veevavault.com/ui/#object/approved_document__v/V5OZ025E82NE0FA", "VAE AT E-REP - Bericht Otsuka-Symposium ÖGN 2024 (Rheumatologie)")</f>
        <v>VAE AT E-REP - Bericht Otsuka-Symposium ÖGN 2024 (Rheumatologie)</v>
      </c>
      <c r="C792" s="3" t="str">
        <f>HYPERLINK("https://otsuka-europe-crm.veevavault.com/ui/#object/sent_email__v/VBL00000001G285", "SE-001405512")</f>
        <v>SE-001405512</v>
      </c>
      <c r="D792" s="1" t="s">
        <v>1</v>
      </c>
      <c r="E792" s="2">
        <v>0</v>
      </c>
      <c r="F792" s="2">
        <v>0</v>
      </c>
      <c r="G792" s="2">
        <v>0</v>
      </c>
      <c r="H792" s="1" t="s">
        <v>1</v>
      </c>
      <c r="I792" s="2">
        <v>0</v>
      </c>
      <c r="J792" s="1">
        <v>46076.239479166667</v>
      </c>
    </row>
    <row r="793" spans="1:10" x14ac:dyDescent="0.2">
      <c r="A793" s="4" t="s">
        <v>0</v>
      </c>
      <c r="B793" s="3" t="str">
        <f>HYPERLINK("https://otsuka-europe-crm.veevavault.com/ui/#object/approved_document__v/V5OZ025E82NE0FK", "VAE AT E-REP - CNI Differenzierung V2.0 (Nephrologie)")</f>
        <v>VAE AT E-REP - CNI Differenzierung V2.0 (Nephrologie)</v>
      </c>
      <c r="C793" s="3" t="str">
        <f>HYPERLINK("https://otsuka-europe-crm.veevavault.com/ui/#object/sent_email__v/VBL000000015006", "SE-001400020")</f>
        <v>SE-001400020</v>
      </c>
      <c r="D793" s="1" t="s">
        <v>1</v>
      </c>
      <c r="E793" s="2">
        <v>0</v>
      </c>
      <c r="F793" s="2">
        <v>0</v>
      </c>
      <c r="G793" s="2">
        <v>0</v>
      </c>
      <c r="H793" s="1" t="s">
        <v>1</v>
      </c>
      <c r="I793" s="2">
        <v>0</v>
      </c>
      <c r="J793" s="1">
        <v>46038.393287037034</v>
      </c>
    </row>
    <row r="794" spans="1:10" x14ac:dyDescent="0.2">
      <c r="A794" s="4" t="s">
        <v>0</v>
      </c>
      <c r="B794" s="3" t="str">
        <f>HYPERLINK("https://otsuka-europe-crm.veevavault.com/ui/#object/approved_document__v/V5OZ025E82NE0FK", "VAE AT E-REP - CNI Differenzierung V2.0 (Nephrologie)")</f>
        <v>VAE AT E-REP - CNI Differenzierung V2.0 (Nephrologie)</v>
      </c>
      <c r="C794" s="3" t="str">
        <f>HYPERLINK("https://otsuka-europe-crm.veevavault.com/ui/#object/sent_email__v/VBL000000017060", "SE-001402028")</f>
        <v>SE-001402028</v>
      </c>
      <c r="D794" s="1" t="s">
        <v>1</v>
      </c>
      <c r="E794" s="2">
        <v>0</v>
      </c>
      <c r="F794" s="2">
        <v>0</v>
      </c>
      <c r="G794" s="2">
        <v>0</v>
      </c>
      <c r="H794" s="1" t="s">
        <v>1</v>
      </c>
      <c r="I794" s="2">
        <v>0</v>
      </c>
      <c r="J794" s="1">
        <v>46050.373796296299</v>
      </c>
    </row>
    <row r="795" spans="1:10" x14ac:dyDescent="0.2">
      <c r="A795" s="4" t="s">
        <v>0</v>
      </c>
      <c r="B795" s="3" t="str">
        <f>HYPERLINK("https://otsuka-europe-crm.veevavault.com/ui/#object/approved_document__v/V5OZ025E82NE0FK", "VAE AT E-REP - CNI Differenzierung V2.0 (Nephrologie)")</f>
        <v>VAE AT E-REP - CNI Differenzierung V2.0 (Nephrologie)</v>
      </c>
      <c r="C795" s="3" t="str">
        <f>HYPERLINK("https://otsuka-europe-crm.veevavault.com/ui/#object/sent_email__v/VBL00000001G288", "SE-001405515")</f>
        <v>SE-001405515</v>
      </c>
      <c r="D795" s="1" t="s">
        <v>1</v>
      </c>
      <c r="E795" s="2">
        <v>0</v>
      </c>
      <c r="F795" s="2">
        <v>0</v>
      </c>
      <c r="G795" s="2">
        <v>0</v>
      </c>
      <c r="H795" s="1" t="s">
        <v>1</v>
      </c>
      <c r="I795" s="2">
        <v>0</v>
      </c>
      <c r="J795" s="1">
        <v>46076.23978009259</v>
      </c>
    </row>
    <row r="796" spans="1:10" x14ac:dyDescent="0.2">
      <c r="A796" s="4" t="s">
        <v>0</v>
      </c>
      <c r="B796" s="3" t="str">
        <f>HYPERLINK("https://otsuka-europe-crm.veevavault.com/ui/#object/approved_document__v/V5OZ025E82NE0KU", "VAE AT E-REP - CNI Differenzierung V2.0 (Rheumatologie)")</f>
        <v>VAE AT E-REP - CNI Differenzierung V2.0 (Rheumatologie)</v>
      </c>
      <c r="C796" s="3" t="str">
        <f>HYPERLINK("https://otsuka-europe-crm.veevavault.com/ui/#object/sent_email__v/VBL00000000N003", "SE-001389727")</f>
        <v>SE-001389727</v>
      </c>
      <c r="D796" s="1" t="s">
        <v>1</v>
      </c>
      <c r="E796" s="2">
        <v>0</v>
      </c>
      <c r="F796" s="2">
        <v>0</v>
      </c>
      <c r="G796" s="2">
        <v>0</v>
      </c>
      <c r="H796" s="1" t="s">
        <v>1</v>
      </c>
      <c r="I796" s="2">
        <v>0</v>
      </c>
      <c r="J796" s="1">
        <v>45973.614641203705</v>
      </c>
    </row>
    <row r="797" spans="1:10" x14ac:dyDescent="0.2">
      <c r="A797" s="4" t="s">
        <v>0</v>
      </c>
      <c r="B797" s="3" t="str">
        <f>HYPERLINK("https://otsuka-europe-crm.veevavault.com/ui/#object/approved_document__v/V5OZ025E82NE0KU", "VAE AT E-REP - CNI Differenzierung V2.0 (Rheumatologie)")</f>
        <v>VAE AT E-REP - CNI Differenzierung V2.0 (Rheumatologie)</v>
      </c>
      <c r="C797" s="3" t="str">
        <f>HYPERLINK("https://otsuka-europe-crm.veevavault.com/ui/#object/sent_email__v/VBL00000000Y031", "SE-001396574")</f>
        <v>SE-001396574</v>
      </c>
      <c r="D797" s="1" t="s">
        <v>1</v>
      </c>
      <c r="E797" s="2">
        <v>0</v>
      </c>
      <c r="F797" s="2">
        <v>0</v>
      </c>
      <c r="G797" s="2">
        <v>0</v>
      </c>
      <c r="H797" s="1" t="s">
        <v>1</v>
      </c>
      <c r="I797" s="2">
        <v>0</v>
      </c>
      <c r="J797" s="1">
        <v>46003.42465277778</v>
      </c>
    </row>
    <row r="798" spans="1:10" x14ac:dyDescent="0.2">
      <c r="A798" s="4" t="s">
        <v>0</v>
      </c>
      <c r="B798" s="3" t="str">
        <f>HYPERLINK("https://otsuka-europe-crm.veevavault.com/ui/#object/approved_document__v/V5OZ025E82NE0KU", "VAE AT E-REP - CNI Differenzierung V2.0 (Rheumatologie)")</f>
        <v>VAE AT E-REP - CNI Differenzierung V2.0 (Rheumatologie)</v>
      </c>
      <c r="C798" s="3" t="str">
        <f>HYPERLINK("https://otsuka-europe-crm.veevavault.com/ui/#object/sent_email__v/VBL000000012906", "SE-001399827")</f>
        <v>SE-001399827</v>
      </c>
      <c r="D798" s="1" t="s">
        <v>1</v>
      </c>
      <c r="E798" s="2">
        <v>0</v>
      </c>
      <c r="F798" s="2">
        <v>0</v>
      </c>
      <c r="G798" s="2">
        <v>0</v>
      </c>
      <c r="H798" s="1" t="s">
        <v>1</v>
      </c>
      <c r="I798" s="2">
        <v>0</v>
      </c>
      <c r="J798" s="1">
        <v>46035.394456018519</v>
      </c>
    </row>
    <row r="799" spans="1:10" x14ac:dyDescent="0.2">
      <c r="A799" s="4" t="s">
        <v>0</v>
      </c>
      <c r="B799" s="3" t="str">
        <f>HYPERLINK("https://otsuka-europe-crm.veevavault.com/ui/#object/approved_document__v/V5OZ025E82NE0KU", "VAE AT E-REP - CNI Differenzierung V2.0 (Rheumatologie)")</f>
        <v>VAE AT E-REP - CNI Differenzierung V2.0 (Rheumatologie)</v>
      </c>
      <c r="C799" s="3" t="str">
        <f>HYPERLINK("https://otsuka-europe-crm.veevavault.com/ui/#object/sent_email__v/VBL000000015292", "SE-001400764")</f>
        <v>SE-001400764</v>
      </c>
      <c r="D799" s="1" t="s">
        <v>1</v>
      </c>
      <c r="E799" s="2">
        <v>0</v>
      </c>
      <c r="F799" s="2">
        <v>0</v>
      </c>
      <c r="G799" s="2">
        <v>0</v>
      </c>
      <c r="H799" s="1" t="s">
        <v>1</v>
      </c>
      <c r="I799" s="2">
        <v>0</v>
      </c>
      <c r="J799" s="1">
        <v>46044.391956018517</v>
      </c>
    </row>
    <row r="800" spans="1:10" x14ac:dyDescent="0.2">
      <c r="A800" s="4" t="s">
        <v>0</v>
      </c>
      <c r="B800" s="3" t="str">
        <f>HYPERLINK("https://otsuka-europe-crm.veevavault.com/ui/#object/approved_document__v/V5OZ025E82NE0KU", "VAE AT E-REP - CNI Differenzierung V2.0 (Rheumatologie)")</f>
        <v>VAE AT E-REP - CNI Differenzierung V2.0 (Rheumatologie)</v>
      </c>
      <c r="C800" s="3" t="str">
        <f>HYPERLINK("https://otsuka-europe-crm.veevavault.com/ui/#object/sent_email__v/VBL000000016545", "SE-001400852")</f>
        <v>SE-001400852</v>
      </c>
      <c r="D800" s="1" t="s">
        <v>1</v>
      </c>
      <c r="E800" s="2">
        <v>0</v>
      </c>
      <c r="F800" s="2">
        <v>0</v>
      </c>
      <c r="G800" s="2">
        <v>0</v>
      </c>
      <c r="H800" s="1" t="s">
        <v>1</v>
      </c>
      <c r="I800" s="2">
        <v>0</v>
      </c>
      <c r="J800" s="1">
        <v>46045.451423611114</v>
      </c>
    </row>
    <row r="801" spans="1:10" x14ac:dyDescent="0.2">
      <c r="A801" s="4" t="s">
        <v>0</v>
      </c>
      <c r="B801" s="3" t="str">
        <f>HYPERLINK("https://otsuka-europe-crm.veevavault.com/ui/#object/approved_document__v/V5OZ025E82NE0KU", "VAE AT E-REP - CNI Differenzierung V2.0 (Rheumatologie)")</f>
        <v>VAE AT E-REP - CNI Differenzierung V2.0 (Rheumatologie)</v>
      </c>
      <c r="C801" s="3" t="str">
        <f>HYPERLINK("https://otsuka-europe-crm.veevavault.com/ui/#object/sent_email__v/VBL000000018014", "SE-001402029")</f>
        <v>SE-001402029</v>
      </c>
      <c r="D801" s="1" t="s">
        <v>1</v>
      </c>
      <c r="E801" s="2">
        <v>0</v>
      </c>
      <c r="F801" s="2">
        <v>0</v>
      </c>
      <c r="G801" s="2">
        <v>0</v>
      </c>
      <c r="H801" s="1" t="s">
        <v>1</v>
      </c>
      <c r="I801" s="2">
        <v>0</v>
      </c>
      <c r="J801" s="1">
        <v>46050.378819444442</v>
      </c>
    </row>
    <row r="802" spans="1:10" x14ac:dyDescent="0.2">
      <c r="A802" s="4" t="s">
        <v>0</v>
      </c>
      <c r="B802" s="3" t="str">
        <f>HYPERLINK("https://otsuka-europe-crm.veevavault.com/ui/#object/approved_document__v/V5O000000004026", "VAE AT E-REP - Einladung LN Webinar Nov 2025 (Nephrologie)")</f>
        <v>VAE AT E-REP - Einladung LN Webinar Nov 2025 (Nephrologie)</v>
      </c>
      <c r="C802" s="3" t="str">
        <f>HYPERLINK("https://otsuka-europe-crm.veevavault.com/ui/#object/sent_email__v/VBL000000005862", "SE-001380786")</f>
        <v>SE-001380786</v>
      </c>
      <c r="D802" s="1" t="s">
        <v>1</v>
      </c>
      <c r="E802" s="2">
        <v>0</v>
      </c>
      <c r="F802" s="2">
        <v>0</v>
      </c>
      <c r="G802" s="2">
        <v>0</v>
      </c>
      <c r="H802" s="1" t="s">
        <v>1</v>
      </c>
      <c r="I802" s="2">
        <v>0</v>
      </c>
      <c r="J802" s="1">
        <v>45966.342291666668</v>
      </c>
    </row>
    <row r="803" spans="1:10" x14ac:dyDescent="0.2">
      <c r="A803" s="4" t="s">
        <v>0</v>
      </c>
      <c r="B803" s="3" t="str">
        <f>HYPERLINK("https://otsuka-europe-crm.veevavault.com/ui/#object/approved_document__v/V5O000000004023", "VAE AT E-REP - Einladung LN Webinar Nov 2025 (Rheumatologie)")</f>
        <v>VAE AT E-REP - Einladung LN Webinar Nov 2025 (Rheumatologie)</v>
      </c>
      <c r="C803" s="3" t="str">
        <f>HYPERLINK("https://otsuka-europe-crm.veevavault.com/ui/#object/sent_email__v/VBL000000004454", "SE-001380785")</f>
        <v>SE-001380785</v>
      </c>
      <c r="D803" s="1" t="s">
        <v>1</v>
      </c>
      <c r="E803" s="2">
        <v>0</v>
      </c>
      <c r="F803" s="2">
        <v>0</v>
      </c>
      <c r="G803" s="2">
        <v>0</v>
      </c>
      <c r="H803" s="1" t="s">
        <v>1</v>
      </c>
      <c r="I803" s="2">
        <v>0</v>
      </c>
      <c r="J803" s="1">
        <v>45966.316238425927</v>
      </c>
    </row>
    <row r="804" spans="1:10" x14ac:dyDescent="0.2">
      <c r="A804" s="4" t="s">
        <v>0</v>
      </c>
      <c r="B804" s="3" t="str">
        <f>HYPERLINK("https://otsuka-europe-crm.veevavault.com/ui/#object/approved_document__v/V5O000000004023", "VAE AT E-REP - Einladung LN Webinar Nov 2025 (Rheumatologie)")</f>
        <v>VAE AT E-REP - Einladung LN Webinar Nov 2025 (Rheumatologie)</v>
      </c>
      <c r="C804" s="3" t="str">
        <f>HYPERLINK("https://otsuka-europe-crm.veevavault.com/ui/#object/sent_email__v/VBL000000004734", "SE-001381191")</f>
        <v>SE-001381191</v>
      </c>
      <c r="D804" s="1" t="s">
        <v>1</v>
      </c>
      <c r="E804" s="2">
        <v>0</v>
      </c>
      <c r="F804" s="2">
        <v>0</v>
      </c>
      <c r="G804" s="2">
        <v>0</v>
      </c>
      <c r="H804" s="1" t="s">
        <v>1</v>
      </c>
      <c r="I804" s="2">
        <v>0</v>
      </c>
      <c r="J804" s="1">
        <v>45967.426423611112</v>
      </c>
    </row>
    <row r="805" spans="1:10" x14ac:dyDescent="0.2">
      <c r="A805" s="4" t="s">
        <v>0</v>
      </c>
      <c r="B805" s="3" t="str">
        <f>HYPERLINK("https://otsuka-europe-crm.veevavault.com/ui/#object/approved_document__v/V5O000000004023", "VAE AT E-REP - Einladung LN Webinar Nov 2025 (Rheumatologie)")</f>
        <v>VAE AT E-REP - Einladung LN Webinar Nov 2025 (Rheumatologie)</v>
      </c>
      <c r="C805" s="3" t="str">
        <f>HYPERLINK("https://otsuka-europe-crm.veevavault.com/ui/#object/sent_email__v/VBL000000007437", "SE-001381881")</f>
        <v>SE-001381881</v>
      </c>
      <c r="D805" s="1" t="s">
        <v>1</v>
      </c>
      <c r="E805" s="2">
        <v>0</v>
      </c>
      <c r="F805" s="2">
        <v>0</v>
      </c>
      <c r="G805" s="2">
        <v>0</v>
      </c>
      <c r="H805" s="1" t="s">
        <v>1</v>
      </c>
      <c r="I805" s="2">
        <v>0</v>
      </c>
      <c r="J805" s="1">
        <v>45968.490081018521</v>
      </c>
    </row>
    <row r="806" spans="1:10" x14ac:dyDescent="0.2">
      <c r="A806" s="4" t="s">
        <v>0</v>
      </c>
      <c r="B806" s="3" t="str">
        <f>HYPERLINK("https://otsuka-europe-crm.veevavault.com/ui/#object/approved_document__v/V5O000000004023", "VAE AT E-REP - Einladung LN Webinar Nov 2025 (Rheumatologie)")</f>
        <v>VAE AT E-REP - Einladung LN Webinar Nov 2025 (Rheumatologie)</v>
      </c>
      <c r="C806" s="3" t="str">
        <f>HYPERLINK("https://otsuka-europe-crm.veevavault.com/ui/#object/sent_email__v/VBL00000000E388", "SE-001384097")</f>
        <v>SE-001384097</v>
      </c>
      <c r="D806" s="1" t="s">
        <v>1</v>
      </c>
      <c r="E806" s="2">
        <v>0</v>
      </c>
      <c r="F806" s="2">
        <v>0</v>
      </c>
      <c r="G806" s="2">
        <v>0</v>
      </c>
      <c r="H806" s="1" t="s">
        <v>1</v>
      </c>
      <c r="I806" s="2">
        <v>0</v>
      </c>
      <c r="J806" s="1">
        <v>45971.432662037034</v>
      </c>
    </row>
    <row r="807" spans="1:10" x14ac:dyDescent="0.2">
      <c r="A807" s="4" t="s">
        <v>0</v>
      </c>
      <c r="B807" s="3" t="str">
        <f>HYPERLINK("https://otsuka-europe-crm.veevavault.com/ui/#object/approved_document__v/V5O000000004023", "VAE AT E-REP - Einladung LN Webinar Nov 2025 (Rheumatologie)")</f>
        <v>VAE AT E-REP - Einladung LN Webinar Nov 2025 (Rheumatologie)</v>
      </c>
      <c r="C807" s="3" t="str">
        <f>HYPERLINK("https://otsuka-europe-crm.veevavault.com/ui/#object/sent_email__v/VBL00000000N004", "SE-001389728")</f>
        <v>SE-001389728</v>
      </c>
      <c r="D807" s="1" t="s">
        <v>1</v>
      </c>
      <c r="E807" s="2">
        <v>0</v>
      </c>
      <c r="F807" s="2">
        <v>0</v>
      </c>
      <c r="G807" s="2">
        <v>0</v>
      </c>
      <c r="H807" s="1" t="s">
        <v>1</v>
      </c>
      <c r="I807" s="2">
        <v>0</v>
      </c>
      <c r="J807" s="1">
        <v>45973.614745370367</v>
      </c>
    </row>
    <row r="808" spans="1:10" x14ac:dyDescent="0.2">
      <c r="A808" s="4" t="s">
        <v>0</v>
      </c>
      <c r="B808" s="3" t="str">
        <f>HYPERLINK("https://otsuka-europe-crm.veevavault.com/ui/#object/approved_document__v/V5OZ025E82UMU5U", "VAE AT E-REP - Einladung LN Webinar OPEL Nov 2025 (Nephrologie)")</f>
        <v>VAE AT E-REP - Einladung LN Webinar OPEL Nov 2025 (Nephrologie)</v>
      </c>
      <c r="C808" s="3" t="str">
        <f>HYPERLINK("https://otsuka-europe-crm.veevavault.com/ui/#object/sent_email__v/VBLZ025E82HKPBD", "SE-000287558")</f>
        <v>SE-000287558</v>
      </c>
      <c r="D808" s="1">
        <v>45951.849097222221</v>
      </c>
      <c r="E808" s="2">
        <v>1</v>
      </c>
      <c r="F808" s="2">
        <v>1</v>
      </c>
      <c r="G808" s="2">
        <v>0</v>
      </c>
      <c r="H808" s="1" t="s">
        <v>1</v>
      </c>
      <c r="I808" s="2">
        <v>0</v>
      </c>
      <c r="J808" s="1">
        <v>45945.276574074072</v>
      </c>
    </row>
    <row r="809" spans="1:10" x14ac:dyDescent="0.2">
      <c r="A809" s="4" t="s">
        <v>0</v>
      </c>
      <c r="B809" s="3" t="str">
        <f>HYPERLINK("https://otsuka-europe-crm.veevavault.com/ui/#object/approved_document__v/V5OZ025E82UMU5U", "VAE AT E-REP - Einladung LN Webinar OPEL Nov 2025 (Nephrologie)")</f>
        <v>VAE AT E-REP - Einladung LN Webinar OPEL Nov 2025 (Nephrologie)</v>
      </c>
      <c r="C809" s="3" t="str">
        <f>HYPERLINK("https://otsuka-europe-crm.veevavault.com/ui/#object/sent_email__v/VBLZ025E82HMC41", "SE-000287919")</f>
        <v>SE-000287919</v>
      </c>
      <c r="D809" s="1" t="s">
        <v>1</v>
      </c>
      <c r="E809" s="2">
        <v>0</v>
      </c>
      <c r="F809" s="2">
        <v>0</v>
      </c>
      <c r="G809" s="2">
        <v>0</v>
      </c>
      <c r="H809" s="1" t="s">
        <v>1</v>
      </c>
      <c r="I809" s="2">
        <v>0</v>
      </c>
      <c r="J809" s="1">
        <v>45946.485914351855</v>
      </c>
    </row>
    <row r="810" spans="1:10" x14ac:dyDescent="0.2">
      <c r="A810" s="4" t="s">
        <v>0</v>
      </c>
      <c r="B810" s="3" t="str">
        <f>HYPERLINK("https://otsuka-europe-crm.veevavault.com/ui/#object/approved_document__v/V5OZ025E82UMU5U", "VAE AT E-REP - Einladung LN Webinar OPEL Nov 2025 (Nephrologie)")</f>
        <v>VAE AT E-REP - Einladung LN Webinar OPEL Nov 2025 (Nephrologie)</v>
      </c>
      <c r="C810" s="3" t="str">
        <f>HYPERLINK("https://otsuka-europe-crm.veevavault.com/ui/#object/sent_email__v/VBLZ025E82HMO2L", "SE-000287934")</f>
        <v>SE-000287934</v>
      </c>
      <c r="D810" s="1" t="s">
        <v>1</v>
      </c>
      <c r="E810" s="2">
        <v>0</v>
      </c>
      <c r="F810" s="2">
        <v>0</v>
      </c>
      <c r="G810" s="2">
        <v>0</v>
      </c>
      <c r="H810" s="1" t="s">
        <v>1</v>
      </c>
      <c r="I810" s="2">
        <v>0</v>
      </c>
      <c r="J810" s="1">
        <v>45946.601180555554</v>
      </c>
    </row>
    <row r="811" spans="1:10" x14ac:dyDescent="0.2">
      <c r="A811" s="4" t="s">
        <v>0</v>
      </c>
      <c r="B811" s="3" t="str">
        <f>HYPERLINK("https://otsuka-europe-crm.veevavault.com/ui/#object/approved_document__v/V5O00000000H042", "VAE AT E-REP - Einladung Lupologen WS NÖ/B/W (Rheumatologie)")</f>
        <v>VAE AT E-REP - Einladung Lupologen WS NÖ/B/W (Rheumatologie)</v>
      </c>
      <c r="C811" s="3" t="str">
        <f>HYPERLINK("https://otsuka-europe-crm.veevavault.com/ui/#object/sent_email__v/VBL000000010114", "SE-001396952")</f>
        <v>SE-001396952</v>
      </c>
      <c r="D811" s="1" t="s">
        <v>1</v>
      </c>
      <c r="E811" s="2">
        <v>0</v>
      </c>
      <c r="F811" s="2">
        <v>0</v>
      </c>
      <c r="G811" s="2">
        <v>0</v>
      </c>
      <c r="H811" s="1" t="s">
        <v>1</v>
      </c>
      <c r="I811" s="2">
        <v>0</v>
      </c>
      <c r="J811" s="1">
        <v>46007.394108796296</v>
      </c>
    </row>
    <row r="812" spans="1:10" x14ac:dyDescent="0.2">
      <c r="A812" s="4" t="s">
        <v>0</v>
      </c>
      <c r="B812" s="3" t="str">
        <f>HYPERLINK("https://otsuka-europe-crm.veevavault.com/ui/#object/approved_document__v/V5O00000000H042", "VAE AT E-REP - Einladung Lupologen WS NÖ/B/W (Rheumatologie)")</f>
        <v>VAE AT E-REP - Einladung Lupologen WS NÖ/B/W (Rheumatologie)</v>
      </c>
      <c r="C812" s="3" t="str">
        <f>HYPERLINK("https://otsuka-europe-crm.veevavault.com/ui/#object/sent_email__v/VBL000000011290", "SE-001397046")</f>
        <v>SE-001397046</v>
      </c>
      <c r="D812" s="1" t="s">
        <v>1</v>
      </c>
      <c r="E812" s="2">
        <v>0</v>
      </c>
      <c r="F812" s="2">
        <v>0</v>
      </c>
      <c r="G812" s="2">
        <v>0</v>
      </c>
      <c r="H812" s="1" t="s">
        <v>1</v>
      </c>
      <c r="I812" s="2">
        <v>0</v>
      </c>
      <c r="J812" s="1">
        <v>46008.406331018516</v>
      </c>
    </row>
    <row r="813" spans="1:10" x14ac:dyDescent="0.2">
      <c r="A813" s="4" t="s">
        <v>0</v>
      </c>
      <c r="B813" s="3" t="str">
        <f>HYPERLINK("https://otsuka-europe-crm.veevavault.com/ui/#object/approved_document__v/V5O00000000H042", "VAE AT E-REP - Einladung Lupologen WS NÖ/B/W (Rheumatologie)")</f>
        <v>VAE AT E-REP - Einladung Lupologen WS NÖ/B/W (Rheumatologie)</v>
      </c>
      <c r="C813" s="3" t="str">
        <f>HYPERLINK("https://otsuka-europe-crm.veevavault.com/ui/#object/sent_email__v/VBL000000010195", "SE-001397277")</f>
        <v>SE-001397277</v>
      </c>
      <c r="D813" s="1" t="s">
        <v>1</v>
      </c>
      <c r="E813" s="2">
        <v>0</v>
      </c>
      <c r="F813" s="2">
        <v>0</v>
      </c>
      <c r="G813" s="2">
        <v>0</v>
      </c>
      <c r="H813" s="1" t="s">
        <v>1</v>
      </c>
      <c r="I813" s="2">
        <v>0</v>
      </c>
      <c r="J813" s="1">
        <v>46008.448437500003</v>
      </c>
    </row>
    <row r="814" spans="1:10" x14ac:dyDescent="0.2">
      <c r="A814" s="4" t="s">
        <v>0</v>
      </c>
      <c r="B814" s="3" t="str">
        <f>HYPERLINK("https://otsuka-europe-crm.veevavault.com/ui/#object/approved_document__v/V5O000000009011", "VAE AT E-REP - Save the Date Lupologen WS (Nephrologie)")</f>
        <v>VAE AT E-REP - Save the Date Lupologen WS (Nephrologie)</v>
      </c>
      <c r="C814" s="3" t="str">
        <f>HYPERLINK("https://otsuka-europe-crm.veevavault.com/ui/#object/sent_email__v/VBL00000000X369", "SE-001396162")</f>
        <v>SE-001396162</v>
      </c>
      <c r="D814" s="1" t="s">
        <v>1</v>
      </c>
      <c r="E814" s="2">
        <v>0</v>
      </c>
      <c r="F814" s="2">
        <v>0</v>
      </c>
      <c r="G814" s="2">
        <v>0</v>
      </c>
      <c r="H814" s="1" t="s">
        <v>1</v>
      </c>
      <c r="I814" s="2">
        <v>0</v>
      </c>
      <c r="J814" s="1">
        <v>46002.335914351854</v>
      </c>
    </row>
    <row r="815" spans="1:10" x14ac:dyDescent="0.2">
      <c r="A815" s="4" t="s">
        <v>0</v>
      </c>
      <c r="B815" s="3" t="str">
        <f>HYPERLINK("https://otsuka-europe-crm.veevavault.com/ui/#object/approved_document__v/V5O000000009011", "VAE AT E-REP - Save the Date Lupologen WS (Nephrologie)")</f>
        <v>VAE AT E-REP - Save the Date Lupologen WS (Nephrologie)</v>
      </c>
      <c r="C815" s="3" t="str">
        <f>HYPERLINK("https://otsuka-europe-crm.veevavault.com/ui/#object/sent_email__v/VBL000000011027", "SE-001396653")</f>
        <v>SE-001396653</v>
      </c>
      <c r="D815" s="1" t="s">
        <v>1</v>
      </c>
      <c r="E815" s="2">
        <v>0</v>
      </c>
      <c r="F815" s="2">
        <v>0</v>
      </c>
      <c r="G815" s="2">
        <v>0</v>
      </c>
      <c r="H815" s="1" t="s">
        <v>1</v>
      </c>
      <c r="I815" s="2">
        <v>0</v>
      </c>
      <c r="J815" s="1">
        <v>46006.468356481484</v>
      </c>
    </row>
    <row r="816" spans="1:10" x14ac:dyDescent="0.2">
      <c r="A816" s="4" t="s">
        <v>0</v>
      </c>
      <c r="B816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16" s="3" t="str">
        <f>HYPERLINK("https://otsuka-europe-crm.veevavault.com/ui/#object/sent_email__v/VBL00000000R085", "SE-001391643")</f>
        <v>SE-001391643</v>
      </c>
      <c r="D816" s="1">
        <v>46006.752951388888</v>
      </c>
      <c r="E816" s="2">
        <v>1</v>
      </c>
      <c r="F816" s="2">
        <v>7</v>
      </c>
      <c r="G816" s="2">
        <v>0</v>
      </c>
      <c r="H816" s="1" t="s">
        <v>1</v>
      </c>
      <c r="I816" s="2">
        <v>0</v>
      </c>
      <c r="J816" s="1">
        <v>45985.357361111113</v>
      </c>
    </row>
    <row r="817" spans="1:10" x14ac:dyDescent="0.2">
      <c r="A817" s="4" t="s">
        <v>0</v>
      </c>
      <c r="B817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17" s="3" t="str">
        <f>HYPERLINK("https://otsuka-europe-crm.veevavault.com/ui/#object/sent_email__v/VBL00000000R091", "SE-001391649")</f>
        <v>SE-001391649</v>
      </c>
      <c r="D817" s="1">
        <v>45985.579224537039</v>
      </c>
      <c r="E817" s="2">
        <v>1</v>
      </c>
      <c r="F817" s="2">
        <v>1</v>
      </c>
      <c r="G817" s="2">
        <v>0</v>
      </c>
      <c r="H817" s="1" t="s">
        <v>1</v>
      </c>
      <c r="I817" s="2">
        <v>0</v>
      </c>
      <c r="J817" s="1">
        <v>45985.359131944446</v>
      </c>
    </row>
    <row r="818" spans="1:10" x14ac:dyDescent="0.2">
      <c r="A818" s="4" t="s">
        <v>0</v>
      </c>
      <c r="B818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18" s="3" t="str">
        <f>HYPERLINK("https://otsuka-europe-crm.veevavault.com/ui/#object/sent_email__v/VBL00000000R092", "SE-001391650")</f>
        <v>SE-001391650</v>
      </c>
      <c r="D818" s="1">
        <v>45987.261342592596</v>
      </c>
      <c r="E818" s="2">
        <v>1</v>
      </c>
      <c r="F818" s="2">
        <v>2</v>
      </c>
      <c r="G818" s="2">
        <v>1</v>
      </c>
      <c r="H818" s="1">
        <v>45987.261261574073</v>
      </c>
      <c r="I818" s="2">
        <v>1</v>
      </c>
      <c r="J818" s="1">
        <v>45985.359490740739</v>
      </c>
    </row>
    <row r="819" spans="1:10" x14ac:dyDescent="0.2">
      <c r="A819" s="4" t="s">
        <v>0</v>
      </c>
      <c r="B819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19" s="3" t="str">
        <f>HYPERLINK("https://otsuka-europe-crm.veevavault.com/ui/#object/sent_email__v/VBL00000000R093", "SE-001391651")</f>
        <v>SE-001391651</v>
      </c>
      <c r="D819" s="1">
        <v>46070.637175925927</v>
      </c>
      <c r="E819" s="2">
        <v>1</v>
      </c>
      <c r="F819" s="2">
        <v>2</v>
      </c>
      <c r="G819" s="2">
        <v>0</v>
      </c>
      <c r="H819" s="1" t="s">
        <v>1</v>
      </c>
      <c r="I819" s="2">
        <v>0</v>
      </c>
      <c r="J819" s="1">
        <v>45985.360023148147</v>
      </c>
    </row>
    <row r="820" spans="1:10" x14ac:dyDescent="0.2">
      <c r="A820" s="4" t="s">
        <v>0</v>
      </c>
      <c r="B820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0" s="3" t="str">
        <f>HYPERLINK("https://otsuka-europe-crm.veevavault.com/ui/#object/sent_email__v/VBL00000000R094", "SE-001391652")</f>
        <v>SE-001391652</v>
      </c>
      <c r="D820" s="1" t="s">
        <v>1</v>
      </c>
      <c r="E820" s="2">
        <v>0</v>
      </c>
      <c r="F820" s="2">
        <v>0</v>
      </c>
      <c r="G820" s="2">
        <v>0</v>
      </c>
      <c r="H820" s="1" t="s">
        <v>1</v>
      </c>
      <c r="I820" s="2">
        <v>0</v>
      </c>
      <c r="J820" s="1">
        <v>45985.360347222224</v>
      </c>
    </row>
    <row r="821" spans="1:10" x14ac:dyDescent="0.2">
      <c r="A821" s="4" t="s">
        <v>0</v>
      </c>
      <c r="B821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1" s="3" t="str">
        <f>HYPERLINK("https://otsuka-europe-crm.veevavault.com/ui/#object/sent_email__v/VBL00000000R096", "SE-001391654")</f>
        <v>SE-001391654</v>
      </c>
      <c r="D821" s="1">
        <v>45995.277546296296</v>
      </c>
      <c r="E821" s="2">
        <v>1</v>
      </c>
      <c r="F821" s="2">
        <v>3</v>
      </c>
      <c r="G821" s="2">
        <v>0</v>
      </c>
      <c r="H821" s="1" t="s">
        <v>1</v>
      </c>
      <c r="I821" s="2">
        <v>0</v>
      </c>
      <c r="J821" s="1">
        <v>45985.361122685186</v>
      </c>
    </row>
    <row r="822" spans="1:10" x14ac:dyDescent="0.2">
      <c r="A822" s="4" t="s">
        <v>0</v>
      </c>
      <c r="B822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2" s="3" t="str">
        <f>HYPERLINK("https://otsuka-europe-crm.veevavault.com/ui/#object/sent_email__v/VBL00000000R098", "SE-001391656")</f>
        <v>SE-001391656</v>
      </c>
      <c r="D822" s="1" t="s">
        <v>1</v>
      </c>
      <c r="E822" s="2">
        <v>0</v>
      </c>
      <c r="F822" s="2">
        <v>0</v>
      </c>
      <c r="G822" s="2">
        <v>0</v>
      </c>
      <c r="H822" s="1" t="s">
        <v>1</v>
      </c>
      <c r="I822" s="2">
        <v>0</v>
      </c>
      <c r="J822" s="1">
        <v>45985.361909722225</v>
      </c>
    </row>
    <row r="823" spans="1:10" x14ac:dyDescent="0.2">
      <c r="A823" s="4" t="s">
        <v>0</v>
      </c>
      <c r="B823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3" s="3" t="str">
        <f>HYPERLINK("https://otsuka-europe-crm.veevavault.com/ui/#object/sent_email__v/VBL00000000R099", "SE-001391657")</f>
        <v>SE-001391657</v>
      </c>
      <c r="D823" s="1">
        <v>45988.29724537037</v>
      </c>
      <c r="E823" s="2">
        <v>1</v>
      </c>
      <c r="F823" s="2">
        <v>1</v>
      </c>
      <c r="G823" s="2">
        <v>0</v>
      </c>
      <c r="H823" s="1" t="s">
        <v>1</v>
      </c>
      <c r="I823" s="2">
        <v>0</v>
      </c>
      <c r="J823" s="1">
        <v>45985.362361111111</v>
      </c>
    </row>
    <row r="824" spans="1:10" x14ac:dyDescent="0.2">
      <c r="A824" s="4" t="s">
        <v>0</v>
      </c>
      <c r="B824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4" s="3" t="str">
        <f>HYPERLINK("https://otsuka-europe-crm.veevavault.com/ui/#object/sent_email__v/VBL00000000R100", "SE-001391658")</f>
        <v>SE-001391658</v>
      </c>
      <c r="D824" s="1" t="s">
        <v>1</v>
      </c>
      <c r="E824" s="2">
        <v>0</v>
      </c>
      <c r="F824" s="2">
        <v>0</v>
      </c>
      <c r="G824" s="2">
        <v>0</v>
      </c>
      <c r="H824" s="1" t="s">
        <v>1</v>
      </c>
      <c r="I824" s="2">
        <v>0</v>
      </c>
      <c r="J824" s="1">
        <v>45985.362696759257</v>
      </c>
    </row>
    <row r="825" spans="1:10" x14ac:dyDescent="0.2">
      <c r="A825" s="4" t="s">
        <v>0</v>
      </c>
      <c r="B825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5" s="3" t="str">
        <f>HYPERLINK("https://otsuka-europe-crm.veevavault.com/ui/#object/sent_email__v/VBL00000000R101", "SE-001391659")</f>
        <v>SE-001391659</v>
      </c>
      <c r="D825" s="1">
        <v>45985.645844907405</v>
      </c>
      <c r="E825" s="2">
        <v>1</v>
      </c>
      <c r="F825" s="2">
        <v>1</v>
      </c>
      <c r="G825" s="2">
        <v>0</v>
      </c>
      <c r="H825" s="1" t="s">
        <v>1</v>
      </c>
      <c r="I825" s="2">
        <v>0</v>
      </c>
      <c r="J825" s="1">
        <v>45985.363043981481</v>
      </c>
    </row>
    <row r="826" spans="1:10" x14ac:dyDescent="0.2">
      <c r="A826" s="4" t="s">
        <v>0</v>
      </c>
      <c r="B826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6" s="3" t="str">
        <f>HYPERLINK("https://otsuka-europe-crm.veevavault.com/ui/#object/sent_email__v/VBL00000000R102", "SE-001391660")</f>
        <v>SE-001391660</v>
      </c>
      <c r="D826" s="1" t="s">
        <v>1</v>
      </c>
      <c r="E826" s="2">
        <v>0</v>
      </c>
      <c r="F826" s="2">
        <v>0</v>
      </c>
      <c r="G826" s="2">
        <v>0</v>
      </c>
      <c r="H826" s="1" t="s">
        <v>1</v>
      </c>
      <c r="I826" s="2">
        <v>0</v>
      </c>
      <c r="J826" s="1">
        <v>45985.363530092596</v>
      </c>
    </row>
    <row r="827" spans="1:10" x14ac:dyDescent="0.2">
      <c r="A827" s="4" t="s">
        <v>0</v>
      </c>
      <c r="B827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7" s="3" t="str">
        <f>HYPERLINK("https://otsuka-europe-crm.veevavault.com/ui/#object/sent_email__v/VBL00000000R103", "SE-001391661")</f>
        <v>SE-001391661</v>
      </c>
      <c r="D827" s="1" t="s">
        <v>1</v>
      </c>
      <c r="E827" s="2">
        <v>0</v>
      </c>
      <c r="F827" s="2">
        <v>0</v>
      </c>
      <c r="G827" s="2">
        <v>0</v>
      </c>
      <c r="H827" s="1" t="s">
        <v>1</v>
      </c>
      <c r="I827" s="2">
        <v>0</v>
      </c>
      <c r="J827" s="1">
        <v>45985.363796296297</v>
      </c>
    </row>
    <row r="828" spans="1:10" x14ac:dyDescent="0.2">
      <c r="A828" s="4" t="s">
        <v>0</v>
      </c>
      <c r="B828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8" s="3" t="str">
        <f>HYPERLINK("https://otsuka-europe-crm.veevavault.com/ui/#object/sent_email__v/VBL00000000R104", "SE-001391662")</f>
        <v>SE-001391662</v>
      </c>
      <c r="D828" s="1" t="s">
        <v>1</v>
      </c>
      <c r="E828" s="2">
        <v>0</v>
      </c>
      <c r="F828" s="2">
        <v>0</v>
      </c>
      <c r="G828" s="2">
        <v>0</v>
      </c>
      <c r="H828" s="1" t="s">
        <v>1</v>
      </c>
      <c r="I828" s="2">
        <v>0</v>
      </c>
      <c r="J828" s="1">
        <v>45985.364201388889</v>
      </c>
    </row>
    <row r="829" spans="1:10" x14ac:dyDescent="0.2">
      <c r="A829" s="4" t="s">
        <v>0</v>
      </c>
      <c r="B829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29" s="3" t="str">
        <f>HYPERLINK("https://otsuka-europe-crm.veevavault.com/ui/#object/sent_email__v/VBL00000000R105", "SE-001391663")</f>
        <v>SE-001391663</v>
      </c>
      <c r="D829" s="1" t="s">
        <v>1</v>
      </c>
      <c r="E829" s="2">
        <v>0</v>
      </c>
      <c r="F829" s="2">
        <v>0</v>
      </c>
      <c r="G829" s="2">
        <v>0</v>
      </c>
      <c r="H829" s="1" t="s">
        <v>1</v>
      </c>
      <c r="I829" s="2">
        <v>0</v>
      </c>
      <c r="J829" s="1">
        <v>45985.364502314813</v>
      </c>
    </row>
    <row r="830" spans="1:10" x14ac:dyDescent="0.2">
      <c r="A830" s="4" t="s">
        <v>0</v>
      </c>
      <c r="B830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0" s="3" t="str">
        <f>HYPERLINK("https://otsuka-europe-crm.veevavault.com/ui/#object/sent_email__v/VBL00000000S021", "SE-001391664")</f>
        <v>SE-001391664</v>
      </c>
      <c r="D830" s="1">
        <v>45997.967037037037</v>
      </c>
      <c r="E830" s="2">
        <v>1</v>
      </c>
      <c r="F830" s="2">
        <v>2</v>
      </c>
      <c r="G830" s="2">
        <v>0</v>
      </c>
      <c r="H830" s="1" t="s">
        <v>1</v>
      </c>
      <c r="I830" s="2">
        <v>0</v>
      </c>
      <c r="J830" s="1">
        <v>45985.364907407406</v>
      </c>
    </row>
    <row r="831" spans="1:10" x14ac:dyDescent="0.2">
      <c r="A831" s="4" t="s">
        <v>0</v>
      </c>
      <c r="B831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1" s="3" t="str">
        <f>HYPERLINK("https://otsuka-europe-crm.veevavault.com/ui/#object/sent_email__v/VBL00000000R111", "SE-001391670")</f>
        <v>SE-001391670</v>
      </c>
      <c r="D831" s="1">
        <v>46007.373113425929</v>
      </c>
      <c r="E831" s="2">
        <v>1</v>
      </c>
      <c r="F831" s="2">
        <v>3</v>
      </c>
      <c r="G831" s="2">
        <v>0</v>
      </c>
      <c r="H831" s="1" t="s">
        <v>1</v>
      </c>
      <c r="I831" s="2">
        <v>0</v>
      </c>
      <c r="J831" s="1">
        <v>45985.366840277777</v>
      </c>
    </row>
    <row r="832" spans="1:10" x14ac:dyDescent="0.2">
      <c r="A832" s="4" t="s">
        <v>0</v>
      </c>
      <c r="B832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2" s="3" t="str">
        <f>HYPERLINK("https://otsuka-europe-crm.veevavault.com/ui/#object/sent_email__v/VBL00000000R112", "SE-001391672")</f>
        <v>SE-001391672</v>
      </c>
      <c r="D832" s="1" t="s">
        <v>1</v>
      </c>
      <c r="E832" s="2">
        <v>0</v>
      </c>
      <c r="F832" s="2">
        <v>0</v>
      </c>
      <c r="G832" s="2">
        <v>0</v>
      </c>
      <c r="H832" s="1" t="s">
        <v>1</v>
      </c>
      <c r="I832" s="2">
        <v>0</v>
      </c>
      <c r="J832" s="1">
        <v>45985.367708333331</v>
      </c>
    </row>
    <row r="833" spans="1:10" x14ac:dyDescent="0.2">
      <c r="A833" s="4" t="s">
        <v>0</v>
      </c>
      <c r="B833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3" s="3" t="str">
        <f>HYPERLINK("https://otsuka-europe-crm.veevavault.com/ui/#object/sent_email__v/VBL00000000S023", "SE-001391673")</f>
        <v>SE-001391673</v>
      </c>
      <c r="D833" s="1" t="s">
        <v>1</v>
      </c>
      <c r="E833" s="2">
        <v>0</v>
      </c>
      <c r="F833" s="2">
        <v>0</v>
      </c>
      <c r="G833" s="2">
        <v>0</v>
      </c>
      <c r="H833" s="1" t="s">
        <v>1</v>
      </c>
      <c r="I833" s="2">
        <v>0</v>
      </c>
      <c r="J833" s="1">
        <v>45985.368090277778</v>
      </c>
    </row>
    <row r="834" spans="1:10" x14ac:dyDescent="0.2">
      <c r="A834" s="4" t="s">
        <v>0</v>
      </c>
      <c r="B834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4" s="3" t="str">
        <f>HYPERLINK("https://otsuka-europe-crm.veevavault.com/ui/#object/sent_email__v/VBL00000000R113", "SE-001391674")</f>
        <v>SE-001391674</v>
      </c>
      <c r="D834" s="1">
        <v>45986.558923611112</v>
      </c>
      <c r="E834" s="2">
        <v>1</v>
      </c>
      <c r="F834" s="2">
        <v>1</v>
      </c>
      <c r="G834" s="2">
        <v>1</v>
      </c>
      <c r="H834" s="1">
        <v>46049.580462962964</v>
      </c>
      <c r="I834" s="2">
        <v>3</v>
      </c>
      <c r="J834" s="1">
        <v>45985.369641203702</v>
      </c>
    </row>
    <row r="835" spans="1:10" x14ac:dyDescent="0.2">
      <c r="A835" s="4" t="s">
        <v>0</v>
      </c>
      <c r="B835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5" s="3" t="str">
        <f>HYPERLINK("https://otsuka-europe-crm.veevavault.com/ui/#object/sent_email__v/VBL00000000R138", "SE-001391709")</f>
        <v>SE-001391709</v>
      </c>
      <c r="D835" s="1" t="s">
        <v>1</v>
      </c>
      <c r="E835" s="2">
        <v>0</v>
      </c>
      <c r="F835" s="2">
        <v>0</v>
      </c>
      <c r="G835" s="2">
        <v>0</v>
      </c>
      <c r="H835" s="1" t="s">
        <v>1</v>
      </c>
      <c r="I835" s="2">
        <v>0</v>
      </c>
      <c r="J835" s="1">
        <v>45985.456469907411</v>
      </c>
    </row>
    <row r="836" spans="1:10" x14ac:dyDescent="0.2">
      <c r="A836" s="4" t="s">
        <v>0</v>
      </c>
      <c r="B836" s="3" t="str">
        <f>HYPERLINK("https://otsuka-europe-crm.veevavault.com/ui/#object/approved_document__v/V5O000000009012", "VAE AT E-REP - Save the Date Lupologen WS (Rheumatologie)")</f>
        <v>VAE AT E-REP - Save the Date Lupologen WS (Rheumatologie)</v>
      </c>
      <c r="C836" s="3" t="str">
        <f>HYPERLINK("https://otsuka-europe-crm.veevavault.com/ui/#object/sent_email__v/VBL00000000R141", "SE-001391712")</f>
        <v>SE-001391712</v>
      </c>
      <c r="D836" s="1">
        <v>45985.521064814813</v>
      </c>
      <c r="E836" s="2">
        <v>1</v>
      </c>
      <c r="F836" s="2">
        <v>1</v>
      </c>
      <c r="G836" s="2">
        <v>0</v>
      </c>
      <c r="H836" s="1" t="s">
        <v>1</v>
      </c>
      <c r="I836" s="2">
        <v>0</v>
      </c>
      <c r="J836" s="1">
        <v>45985.457453703704</v>
      </c>
    </row>
    <row r="837" spans="1:10" x14ac:dyDescent="0.2">
      <c r="A837" s="4" t="s">
        <v>0</v>
      </c>
      <c r="B837" s="3" t="str">
        <f>HYPERLINK("https://otsuka-europe-crm.veevavault.com/ui/#object/approved_document__v/V5OZ025E82NE0FL", "VAE AT E-REP - SoftConsent (Rheumatologie)")</f>
        <v>VAE AT E-REP - SoftConsent (Rheumatologie)</v>
      </c>
      <c r="C837" s="3" t="str">
        <f>HYPERLINK("https://otsuka-europe-crm.veevavault.com/ui/#object/sent_email__v/VBL000000010218", "SE-001397539")</f>
        <v>SE-001397539</v>
      </c>
      <c r="D837" s="1">
        <v>46009.31559027778</v>
      </c>
      <c r="E837" s="2">
        <v>1</v>
      </c>
      <c r="F837" s="2">
        <v>1</v>
      </c>
      <c r="G837" s="2">
        <v>0</v>
      </c>
      <c r="H837" s="1" t="s">
        <v>1</v>
      </c>
      <c r="I837" s="2">
        <v>0</v>
      </c>
      <c r="J837" s="1">
        <v>46009.305185185185</v>
      </c>
    </row>
    <row r="838" spans="1:10" x14ac:dyDescent="0.2">
      <c r="A838" s="4" t="s">
        <v>0</v>
      </c>
      <c r="B838" s="3" t="str">
        <f>HYPERLINK("https://otsuka-europe-crm.veevavault.com/ui/#object/approved_document__v/V5OZ025E82NE0FC", "VAE AT E-REP - Symposiumsbericht EULAR 2024 (Nephrologie)")</f>
        <v>VAE AT E-REP - Symposiumsbericht EULAR 2024 (Nephrologie)</v>
      </c>
      <c r="C838" s="3" t="str">
        <f>HYPERLINK("https://otsuka-europe-crm.veevavault.com/ui/#object/sent_email__v/VBL000000003201", "SE-001379252")</f>
        <v>SE-001379252</v>
      </c>
      <c r="D838" s="1" t="s">
        <v>1</v>
      </c>
      <c r="E838" s="2">
        <v>0</v>
      </c>
      <c r="F838" s="2">
        <v>0</v>
      </c>
      <c r="G838" s="2">
        <v>0</v>
      </c>
      <c r="H838" s="1" t="s">
        <v>1</v>
      </c>
      <c r="I838" s="2">
        <v>0</v>
      </c>
      <c r="J838" s="1">
        <v>45959.468680555554</v>
      </c>
    </row>
    <row r="839" spans="1:10" x14ac:dyDescent="0.2">
      <c r="A839" s="4" t="s">
        <v>0</v>
      </c>
      <c r="B839" s="3" t="str">
        <f>HYPERLINK("https://otsuka-europe-crm.veevavault.com/ui/#object/approved_document__v/V5OZ025E82NE0FB", "VAE AT E-REP - Symposiumsbericht EULAR 2024 (Rheumatologie)")</f>
        <v>VAE AT E-REP - Symposiumsbericht EULAR 2024 (Rheumatologie)</v>
      </c>
      <c r="C839" s="3" t="str">
        <f>HYPERLINK("https://otsuka-europe-crm.veevavault.com/ui/#object/sent_email__v/VBL00000001G286", "SE-001405513")</f>
        <v>SE-001405513</v>
      </c>
      <c r="D839" s="1" t="s">
        <v>1</v>
      </c>
      <c r="E839" s="2">
        <v>0</v>
      </c>
      <c r="F839" s="2">
        <v>0</v>
      </c>
      <c r="G839" s="2">
        <v>0</v>
      </c>
      <c r="H839" s="1" t="s">
        <v>1</v>
      </c>
      <c r="I839" s="2">
        <v>0</v>
      </c>
      <c r="J839" s="1">
        <v>46076.239629629628</v>
      </c>
    </row>
    <row r="840" spans="1:10" x14ac:dyDescent="0.2">
      <c r="A840" s="4" t="s">
        <v>0</v>
      </c>
      <c r="B840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0" s="3" t="str">
        <f>HYPERLINK("https://otsuka-europe-crm.veevavault.com/ui/#object/sent_email__v/VBLZ025E82H10AD", "SE-000280963")</f>
        <v>SE-000280963</v>
      </c>
      <c r="D840" s="1" t="s">
        <v>1</v>
      </c>
      <c r="E840" s="2">
        <v>0</v>
      </c>
      <c r="F840" s="2">
        <v>0</v>
      </c>
      <c r="G840" s="2">
        <v>0</v>
      </c>
      <c r="H840" s="1" t="s">
        <v>1</v>
      </c>
      <c r="I840" s="2">
        <v>0</v>
      </c>
      <c r="J840" s="1">
        <v>45926.295659722222</v>
      </c>
    </row>
    <row r="841" spans="1:10" x14ac:dyDescent="0.2">
      <c r="A841" s="4" t="s">
        <v>0</v>
      </c>
      <c r="B841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1" s="3" t="str">
        <f>HYPERLINK("https://otsuka-europe-crm.veevavault.com/ui/#object/sent_email__v/VBLZ025E82H10FX", "SE-000280965")</f>
        <v>SE-000280965</v>
      </c>
      <c r="D841" s="1">
        <v>45926.565000000002</v>
      </c>
      <c r="E841" s="2">
        <v>1</v>
      </c>
      <c r="F841" s="2">
        <v>2</v>
      </c>
      <c r="G841" s="2">
        <v>0</v>
      </c>
      <c r="H841" s="1" t="s">
        <v>1</v>
      </c>
      <c r="I841" s="2">
        <v>0</v>
      </c>
      <c r="J841" s="1">
        <v>45926.296724537038</v>
      </c>
    </row>
    <row r="842" spans="1:10" x14ac:dyDescent="0.2">
      <c r="A842" s="4" t="s">
        <v>0</v>
      </c>
      <c r="B842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2" s="3" t="str">
        <f>HYPERLINK("https://otsuka-europe-crm.veevavault.com/ui/#object/sent_email__v/VBLZ025E82HRZNT", "SE-000290133")</f>
        <v>SE-000290133</v>
      </c>
      <c r="D842" s="1" t="s">
        <v>1</v>
      </c>
      <c r="E842" s="2">
        <v>0</v>
      </c>
      <c r="F842" s="2">
        <v>0</v>
      </c>
      <c r="G842" s="2">
        <v>0</v>
      </c>
      <c r="H842" s="1" t="s">
        <v>1</v>
      </c>
      <c r="I842" s="2">
        <v>0</v>
      </c>
      <c r="J842" s="1">
        <v>45953.312094907407</v>
      </c>
    </row>
    <row r="843" spans="1:10" x14ac:dyDescent="0.2">
      <c r="A843" s="4" t="s">
        <v>0</v>
      </c>
      <c r="B843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3" s="3" t="str">
        <f>HYPERLINK("https://otsuka-europe-crm.veevavault.com/ui/#object/sent_email__v/VBL000000004207", "SE-001380265")</f>
        <v>SE-001380265</v>
      </c>
      <c r="D843" s="1" t="s">
        <v>1</v>
      </c>
      <c r="E843" s="2">
        <v>0</v>
      </c>
      <c r="F843" s="2">
        <v>0</v>
      </c>
      <c r="G843" s="2">
        <v>0</v>
      </c>
      <c r="H843" s="1" t="s">
        <v>1</v>
      </c>
      <c r="I843" s="2">
        <v>0</v>
      </c>
      <c r="J843" s="1">
        <v>45964.359247685185</v>
      </c>
    </row>
    <row r="844" spans="1:10" x14ac:dyDescent="0.2">
      <c r="A844" s="4" t="s">
        <v>0</v>
      </c>
      <c r="B844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4" s="3" t="str">
        <f>HYPERLINK("https://otsuka-europe-crm.veevavault.com/ui/#object/sent_email__v/VBL000000005767", "SE-001380669")</f>
        <v>SE-001380669</v>
      </c>
      <c r="D844" s="1" t="s">
        <v>1</v>
      </c>
      <c r="E844" s="2">
        <v>0</v>
      </c>
      <c r="F844" s="2">
        <v>0</v>
      </c>
      <c r="G844" s="2">
        <v>0</v>
      </c>
      <c r="H844" s="1" t="s">
        <v>1</v>
      </c>
      <c r="I844" s="2">
        <v>0</v>
      </c>
      <c r="J844" s="1">
        <v>45965.473738425928</v>
      </c>
    </row>
    <row r="845" spans="1:10" x14ac:dyDescent="0.2">
      <c r="A845" s="4" t="s">
        <v>0</v>
      </c>
      <c r="B845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5" s="3" t="str">
        <f>HYPERLINK("https://otsuka-europe-crm.veevavault.com/ui/#object/sent_email__v/VBL000000008586", "SE-001381865")</f>
        <v>SE-001381865</v>
      </c>
      <c r="D845" s="1" t="s">
        <v>1</v>
      </c>
      <c r="E845" s="2">
        <v>0</v>
      </c>
      <c r="F845" s="2">
        <v>0</v>
      </c>
      <c r="G845" s="2">
        <v>0</v>
      </c>
      <c r="H845" s="1" t="s">
        <v>1</v>
      </c>
      <c r="I845" s="2">
        <v>0</v>
      </c>
      <c r="J845" s="1">
        <v>45968.470243055555</v>
      </c>
    </row>
    <row r="846" spans="1:10" x14ac:dyDescent="0.2">
      <c r="A846" s="4" t="s">
        <v>0</v>
      </c>
      <c r="B846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6" s="3" t="str">
        <f>HYPERLINK("https://otsuka-europe-crm.veevavault.com/ui/#object/sent_email__v/VBL00000000Q253", "SE-001391482")</f>
        <v>SE-001391482</v>
      </c>
      <c r="D846" s="1" t="s">
        <v>1</v>
      </c>
      <c r="E846" s="2">
        <v>0</v>
      </c>
      <c r="F846" s="2">
        <v>0</v>
      </c>
      <c r="G846" s="2">
        <v>0</v>
      </c>
      <c r="H846" s="1" t="s">
        <v>1</v>
      </c>
      <c r="I846" s="2">
        <v>0</v>
      </c>
      <c r="J846" s="1">
        <v>45982.362337962964</v>
      </c>
    </row>
    <row r="847" spans="1:10" x14ac:dyDescent="0.2">
      <c r="A847" s="4" t="s">
        <v>0</v>
      </c>
      <c r="B847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7" s="3" t="str">
        <f>HYPERLINK("https://otsuka-europe-crm.veevavault.com/ui/#object/sent_email__v/VBL00000000S062", "SE-001391781")</f>
        <v>SE-001391781</v>
      </c>
      <c r="D847" s="1" t="s">
        <v>1</v>
      </c>
      <c r="E847" s="2">
        <v>0</v>
      </c>
      <c r="F847" s="2">
        <v>0</v>
      </c>
      <c r="G847" s="2">
        <v>0</v>
      </c>
      <c r="H847" s="1" t="s">
        <v>1</v>
      </c>
      <c r="I847" s="2">
        <v>0</v>
      </c>
      <c r="J847" s="1">
        <v>45985.578842592593</v>
      </c>
    </row>
    <row r="848" spans="1:10" x14ac:dyDescent="0.2">
      <c r="A848" s="4" t="s">
        <v>0</v>
      </c>
      <c r="B848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8" s="3" t="str">
        <f>HYPERLINK("https://otsuka-europe-crm.veevavault.com/ui/#object/sent_email__v/VBL00000000X379", "SE-001396187")</f>
        <v>SE-001396187</v>
      </c>
      <c r="D848" s="1" t="s">
        <v>1</v>
      </c>
      <c r="E848" s="2">
        <v>0</v>
      </c>
      <c r="F848" s="2">
        <v>0</v>
      </c>
      <c r="G848" s="2">
        <v>0</v>
      </c>
      <c r="H848" s="1" t="s">
        <v>1</v>
      </c>
      <c r="I848" s="2">
        <v>0</v>
      </c>
      <c r="J848" s="1">
        <v>46002.461018518516</v>
      </c>
    </row>
    <row r="849" spans="1:10" x14ac:dyDescent="0.2">
      <c r="A849" s="4" t="s">
        <v>0</v>
      </c>
      <c r="B849" s="3" t="str">
        <f>HYPERLINK("https://otsuka-europe-crm.veevavault.com/ui/#object/approved_document__v/V5OZ025E82U22W2", "VAE AT E-REP - Symposiumsbericht ÖGN Wintermeeting 2025 (Nephrologie)")</f>
        <v>VAE AT E-REP - Symposiumsbericht ÖGN Wintermeeting 2025 (Nephrologie)</v>
      </c>
      <c r="C849" s="3" t="str">
        <f>HYPERLINK("https://otsuka-europe-crm.veevavault.com/ui/#object/sent_email__v/VBL000000016455", "SE-001400732")</f>
        <v>SE-001400732</v>
      </c>
      <c r="D849" s="1" t="s">
        <v>1</v>
      </c>
      <c r="E849" s="2">
        <v>0</v>
      </c>
      <c r="F849" s="2">
        <v>0</v>
      </c>
      <c r="G849" s="2">
        <v>0</v>
      </c>
      <c r="H849" s="1" t="s">
        <v>1</v>
      </c>
      <c r="I849" s="2">
        <v>0</v>
      </c>
      <c r="J849" s="1">
        <v>46043.59306712963</v>
      </c>
    </row>
    <row r="850" spans="1:10" x14ac:dyDescent="0.2">
      <c r="A850" s="4" t="s">
        <v>0</v>
      </c>
      <c r="B850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0" s="3" t="str">
        <f>HYPERLINK("https://otsuka-europe-crm.veevavault.com/ui/#object/sent_email__v/VBLZ025E82HILXH", "SE-000286785")</f>
        <v>SE-000286785</v>
      </c>
      <c r="D850" s="1" t="s">
        <v>1</v>
      </c>
      <c r="E850" s="2">
        <v>0</v>
      </c>
      <c r="F850" s="2">
        <v>0</v>
      </c>
      <c r="G850" s="2">
        <v>0</v>
      </c>
      <c r="H850" s="1" t="s">
        <v>1</v>
      </c>
      <c r="I850" s="2">
        <v>0</v>
      </c>
      <c r="J850" s="1">
        <v>45943.435532407406</v>
      </c>
    </row>
    <row r="851" spans="1:10" x14ac:dyDescent="0.2">
      <c r="A851" s="4" t="s">
        <v>0</v>
      </c>
      <c r="B851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1" s="3" t="str">
        <f>HYPERLINK("https://otsuka-europe-crm.veevavault.com/ui/#object/sent_email__v/VBLZ025E82HIOBL", "SE-000286789")</f>
        <v>SE-000286789</v>
      </c>
      <c r="D851" s="1" t="s">
        <v>1</v>
      </c>
      <c r="E851" s="2">
        <v>0</v>
      </c>
      <c r="F851" s="2">
        <v>0</v>
      </c>
      <c r="G851" s="2">
        <v>0</v>
      </c>
      <c r="H851" s="1" t="s">
        <v>1</v>
      </c>
      <c r="I851" s="2">
        <v>0</v>
      </c>
      <c r="J851" s="1">
        <v>45943.458472222221</v>
      </c>
    </row>
    <row r="852" spans="1:10" x14ac:dyDescent="0.2">
      <c r="A852" s="4" t="s">
        <v>0</v>
      </c>
      <c r="B852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2" s="3" t="str">
        <f>HYPERLINK("https://otsuka-europe-crm.veevavault.com/ui/#object/sent_email__v/VBLZ025E82HJ1WH", "SE-000286809")</f>
        <v>SE-000286809</v>
      </c>
      <c r="D852" s="1" t="s">
        <v>1</v>
      </c>
      <c r="E852" s="2">
        <v>0</v>
      </c>
      <c r="F852" s="2">
        <v>0</v>
      </c>
      <c r="G852" s="2">
        <v>0</v>
      </c>
      <c r="H852" s="1" t="s">
        <v>1</v>
      </c>
      <c r="I852" s="2">
        <v>0</v>
      </c>
      <c r="J852" s="1">
        <v>45943.614039351851</v>
      </c>
    </row>
    <row r="853" spans="1:10" x14ac:dyDescent="0.2">
      <c r="A853" s="4" t="s">
        <v>0</v>
      </c>
      <c r="B853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3" s="3" t="str">
        <f>HYPERLINK("https://otsuka-europe-crm.veevavault.com/ui/#object/sent_email__v/VBLZ025E82HNSYT", "SE-000288038")</f>
        <v>SE-000288038</v>
      </c>
      <c r="D853" s="1" t="s">
        <v>1</v>
      </c>
      <c r="E853" s="2">
        <v>0</v>
      </c>
      <c r="F853" s="2">
        <v>0</v>
      </c>
      <c r="G853" s="2">
        <v>0</v>
      </c>
      <c r="H853" s="1" t="s">
        <v>1</v>
      </c>
      <c r="I853" s="2">
        <v>0</v>
      </c>
      <c r="J853" s="1">
        <v>45947.594236111108</v>
      </c>
    </row>
    <row r="854" spans="1:10" x14ac:dyDescent="0.2">
      <c r="A854" s="4" t="s">
        <v>0</v>
      </c>
      <c r="B854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4" s="3" t="str">
        <f>HYPERLINK("https://otsuka-europe-crm.veevavault.com/ui/#object/sent_email__v/VBL000000003202", "SE-001379253")</f>
        <v>SE-001379253</v>
      </c>
      <c r="D854" s="1" t="s">
        <v>1</v>
      </c>
      <c r="E854" s="2">
        <v>0</v>
      </c>
      <c r="F854" s="2">
        <v>0</v>
      </c>
      <c r="G854" s="2">
        <v>0</v>
      </c>
      <c r="H854" s="1" t="s">
        <v>1</v>
      </c>
      <c r="I854" s="2">
        <v>0</v>
      </c>
      <c r="J854" s="1">
        <v>45959.469074074077</v>
      </c>
    </row>
    <row r="855" spans="1:10" x14ac:dyDescent="0.2">
      <c r="A855" s="4" t="s">
        <v>0</v>
      </c>
      <c r="B855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5" s="3" t="str">
        <f>HYPERLINK("https://otsuka-europe-crm.veevavault.com/ui/#object/sent_email__v/VBL000000006129", "SE-001381186")</f>
        <v>SE-001381186</v>
      </c>
      <c r="D855" s="1" t="s">
        <v>1</v>
      </c>
      <c r="E855" s="2">
        <v>0</v>
      </c>
      <c r="F855" s="2">
        <v>0</v>
      </c>
      <c r="G855" s="2">
        <v>0</v>
      </c>
      <c r="H855" s="1" t="s">
        <v>1</v>
      </c>
      <c r="I855" s="2">
        <v>0</v>
      </c>
      <c r="J855" s="1">
        <v>45967.423113425924</v>
      </c>
    </row>
    <row r="856" spans="1:10" x14ac:dyDescent="0.2">
      <c r="A856" s="4" t="s">
        <v>0</v>
      </c>
      <c r="B856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6" s="3" t="str">
        <f>HYPERLINK("https://otsuka-europe-crm.veevavault.com/ui/#object/sent_email__v/VBL000000008601", "SE-001381882")</f>
        <v>SE-001381882</v>
      </c>
      <c r="D856" s="1" t="s">
        <v>1</v>
      </c>
      <c r="E856" s="2">
        <v>0</v>
      </c>
      <c r="F856" s="2">
        <v>0</v>
      </c>
      <c r="G856" s="2">
        <v>0</v>
      </c>
      <c r="H856" s="1" t="s">
        <v>1</v>
      </c>
      <c r="I856" s="2">
        <v>0</v>
      </c>
      <c r="J856" s="1">
        <v>45968.491608796299</v>
      </c>
    </row>
    <row r="857" spans="1:10" x14ac:dyDescent="0.2">
      <c r="A857" s="4" t="s">
        <v>0</v>
      </c>
      <c r="B857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7" s="3" t="str">
        <f>HYPERLINK("https://otsuka-europe-crm.veevavault.com/ui/#object/sent_email__v/VBL00000000E389", "SE-001384098")</f>
        <v>SE-001384098</v>
      </c>
      <c r="D857" s="1" t="s">
        <v>1</v>
      </c>
      <c r="E857" s="2">
        <v>0</v>
      </c>
      <c r="F857" s="2">
        <v>0</v>
      </c>
      <c r="G857" s="2">
        <v>0</v>
      </c>
      <c r="H857" s="1" t="s">
        <v>1</v>
      </c>
      <c r="I857" s="2">
        <v>0</v>
      </c>
      <c r="J857" s="1">
        <v>45971.434363425928</v>
      </c>
    </row>
    <row r="858" spans="1:10" x14ac:dyDescent="0.2">
      <c r="A858" s="4" t="s">
        <v>0</v>
      </c>
      <c r="B858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8" s="3" t="str">
        <f>HYPERLINK("https://otsuka-europe-crm.veevavault.com/ui/#object/sent_email__v/VBL00000000E620", "SE-001384255")</f>
        <v>SE-001384255</v>
      </c>
      <c r="D858" s="1" t="s">
        <v>1</v>
      </c>
      <c r="E858" s="2">
        <v>0</v>
      </c>
      <c r="F858" s="2">
        <v>0</v>
      </c>
      <c r="G858" s="2">
        <v>0</v>
      </c>
      <c r="H858" s="1" t="s">
        <v>1</v>
      </c>
      <c r="I858" s="2">
        <v>0</v>
      </c>
      <c r="J858" s="1">
        <v>45971.612719907411</v>
      </c>
    </row>
    <row r="859" spans="1:10" x14ac:dyDescent="0.2">
      <c r="A859" s="4" t="s">
        <v>0</v>
      </c>
      <c r="B859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59" s="3" t="str">
        <f>HYPERLINK("https://otsuka-europe-crm.veevavault.com/ui/#object/sent_email__v/VBL00000000D383", "SE-001384259")</f>
        <v>SE-001384259</v>
      </c>
      <c r="D859" s="1" t="s">
        <v>1</v>
      </c>
      <c r="E859" s="2">
        <v>0</v>
      </c>
      <c r="F859" s="2">
        <v>0</v>
      </c>
      <c r="G859" s="2">
        <v>0</v>
      </c>
      <c r="H859" s="1" t="s">
        <v>1</v>
      </c>
      <c r="I859" s="2">
        <v>0</v>
      </c>
      <c r="J859" s="1">
        <v>45971.617002314815</v>
      </c>
    </row>
    <row r="860" spans="1:10" x14ac:dyDescent="0.2">
      <c r="A860" s="4" t="s">
        <v>0</v>
      </c>
      <c r="B860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0" s="3" t="str">
        <f>HYPERLINK("https://otsuka-europe-crm.veevavault.com/ui/#object/sent_email__v/VBL00000000M466", "SE-001389469")</f>
        <v>SE-001389469</v>
      </c>
      <c r="D860" s="1" t="s">
        <v>1</v>
      </c>
      <c r="E860" s="2">
        <v>0</v>
      </c>
      <c r="F860" s="2">
        <v>0</v>
      </c>
      <c r="G860" s="2">
        <v>0</v>
      </c>
      <c r="H860" s="1" t="s">
        <v>1</v>
      </c>
      <c r="I860" s="2">
        <v>0</v>
      </c>
      <c r="J860" s="1">
        <v>45973.29582175926</v>
      </c>
    </row>
    <row r="861" spans="1:10" x14ac:dyDescent="0.2">
      <c r="A861" s="4" t="s">
        <v>0</v>
      </c>
      <c r="B861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1" s="3" t="str">
        <f>HYPERLINK("https://otsuka-europe-crm.veevavault.com/ui/#object/sent_email__v/VBL00000000N002", "SE-001389726")</f>
        <v>SE-001389726</v>
      </c>
      <c r="D861" s="1" t="s">
        <v>1</v>
      </c>
      <c r="E861" s="2">
        <v>0</v>
      </c>
      <c r="F861" s="2">
        <v>0</v>
      </c>
      <c r="G861" s="2">
        <v>0</v>
      </c>
      <c r="H861" s="1" t="s">
        <v>1</v>
      </c>
      <c r="I861" s="2">
        <v>0</v>
      </c>
      <c r="J861" s="1">
        <v>45973.614560185182</v>
      </c>
    </row>
    <row r="862" spans="1:10" x14ac:dyDescent="0.2">
      <c r="A862" s="4" t="s">
        <v>0</v>
      </c>
      <c r="B862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2" s="3" t="str">
        <f>HYPERLINK("https://otsuka-europe-crm.veevavault.com/ui/#object/sent_email__v/VBL00000000N147", "SE-001390091")</f>
        <v>SE-001390091</v>
      </c>
      <c r="D862" s="1" t="s">
        <v>1</v>
      </c>
      <c r="E862" s="2">
        <v>0</v>
      </c>
      <c r="F862" s="2">
        <v>0</v>
      </c>
      <c r="G862" s="2">
        <v>0</v>
      </c>
      <c r="H862" s="1" t="s">
        <v>1</v>
      </c>
      <c r="I862" s="2">
        <v>0</v>
      </c>
      <c r="J862" s="1">
        <v>45974.466145833336</v>
      </c>
    </row>
    <row r="863" spans="1:10" x14ac:dyDescent="0.2">
      <c r="A863" s="4" t="s">
        <v>0</v>
      </c>
      <c r="B863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3" s="3" t="str">
        <f>HYPERLINK("https://otsuka-europe-crm.veevavault.com/ui/#object/sent_email__v/VBL00000000M929", "SE-001390212")</f>
        <v>SE-001390212</v>
      </c>
      <c r="D863" s="1" t="s">
        <v>1</v>
      </c>
      <c r="E863" s="2">
        <v>0</v>
      </c>
      <c r="F863" s="2">
        <v>0</v>
      </c>
      <c r="G863" s="2">
        <v>0</v>
      </c>
      <c r="H863" s="1" t="s">
        <v>1</v>
      </c>
      <c r="I863" s="2">
        <v>0</v>
      </c>
      <c r="J863" s="1">
        <v>45974.609351851854</v>
      </c>
    </row>
    <row r="864" spans="1:10" x14ac:dyDescent="0.2">
      <c r="A864" s="4" t="s">
        <v>0</v>
      </c>
      <c r="B864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4" s="3" t="str">
        <f>HYPERLINK("https://otsuka-europe-crm.veevavault.com/ui/#object/sent_email__v/VBL00000000Q218", "SE-001391402")</f>
        <v>SE-001391402</v>
      </c>
      <c r="D864" s="1" t="s">
        <v>1</v>
      </c>
      <c r="E864" s="2">
        <v>0</v>
      </c>
      <c r="F864" s="2">
        <v>0</v>
      </c>
      <c r="G864" s="2">
        <v>0</v>
      </c>
      <c r="H864" s="1" t="s">
        <v>1</v>
      </c>
      <c r="I864" s="2">
        <v>0</v>
      </c>
      <c r="J864" s="1">
        <v>45981.451932870368</v>
      </c>
    </row>
    <row r="865" spans="1:10" x14ac:dyDescent="0.2">
      <c r="A865" s="4" t="s">
        <v>0</v>
      </c>
      <c r="B865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5" s="3" t="str">
        <f>HYPERLINK("https://otsuka-europe-crm.veevavault.com/ui/#object/sent_email__v/VBL00000000P179", "SE-001391504")</f>
        <v>SE-001391504</v>
      </c>
      <c r="D865" s="1" t="s">
        <v>1</v>
      </c>
      <c r="E865" s="2">
        <v>0</v>
      </c>
      <c r="F865" s="2">
        <v>0</v>
      </c>
      <c r="G865" s="2">
        <v>0</v>
      </c>
      <c r="H865" s="1" t="s">
        <v>1</v>
      </c>
      <c r="I865" s="2">
        <v>0</v>
      </c>
      <c r="J865" s="1">
        <v>45982.46371527778</v>
      </c>
    </row>
    <row r="866" spans="1:10" x14ac:dyDescent="0.2">
      <c r="A866" s="4" t="s">
        <v>0</v>
      </c>
      <c r="B866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6" s="3" t="str">
        <f>HYPERLINK("https://otsuka-europe-crm.veevavault.com/ui/#object/sent_email__v/VBL00000000R121", "SE-001391689")</f>
        <v>SE-001391689</v>
      </c>
      <c r="D866" s="1" t="s">
        <v>1</v>
      </c>
      <c r="E866" s="2">
        <v>0</v>
      </c>
      <c r="F866" s="2">
        <v>0</v>
      </c>
      <c r="G866" s="2">
        <v>0</v>
      </c>
      <c r="H866" s="1" t="s">
        <v>1</v>
      </c>
      <c r="I866" s="2">
        <v>0</v>
      </c>
      <c r="J866" s="1">
        <v>45985.405868055554</v>
      </c>
    </row>
    <row r="867" spans="1:10" x14ac:dyDescent="0.2">
      <c r="A867" s="4" t="s">
        <v>0</v>
      </c>
      <c r="B867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7" s="3" t="str">
        <f>HYPERLINK("https://otsuka-europe-crm.veevavault.com/ui/#object/sent_email__v/VBL00000000V069", "SE-001394828")</f>
        <v>SE-001394828</v>
      </c>
      <c r="D867" s="1" t="s">
        <v>1</v>
      </c>
      <c r="E867" s="2">
        <v>0</v>
      </c>
      <c r="F867" s="2">
        <v>0</v>
      </c>
      <c r="G867" s="2">
        <v>0</v>
      </c>
      <c r="H867" s="1" t="s">
        <v>1</v>
      </c>
      <c r="I867" s="2">
        <v>0</v>
      </c>
      <c r="J867" s="1">
        <v>45994.572893518518</v>
      </c>
    </row>
    <row r="868" spans="1:10" x14ac:dyDescent="0.2">
      <c r="A868" s="4" t="s">
        <v>0</v>
      </c>
      <c r="B868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8" s="3" t="str">
        <f>HYPERLINK("https://otsuka-europe-crm.veevavault.com/ui/#object/sent_email__v/VBL00000000X368", "SE-001396161")</f>
        <v>SE-001396161</v>
      </c>
      <c r="D868" s="1" t="s">
        <v>1</v>
      </c>
      <c r="E868" s="2">
        <v>0</v>
      </c>
      <c r="F868" s="2">
        <v>0</v>
      </c>
      <c r="G868" s="2">
        <v>0</v>
      </c>
      <c r="H868" s="1" t="s">
        <v>1</v>
      </c>
      <c r="I868" s="2">
        <v>0</v>
      </c>
      <c r="J868" s="1">
        <v>46002.335358796299</v>
      </c>
    </row>
    <row r="869" spans="1:10" x14ac:dyDescent="0.2">
      <c r="A869" s="4" t="s">
        <v>0</v>
      </c>
      <c r="B869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69" s="3" t="str">
        <f>HYPERLINK("https://otsuka-europe-crm.veevavault.com/ui/#object/sent_email__v/VBL00000000Y027", "SE-001396569")</f>
        <v>SE-001396569</v>
      </c>
      <c r="D869" s="1" t="s">
        <v>1</v>
      </c>
      <c r="E869" s="2">
        <v>0</v>
      </c>
      <c r="F869" s="2">
        <v>0</v>
      </c>
      <c r="G869" s="2">
        <v>0</v>
      </c>
      <c r="H869" s="1" t="s">
        <v>1</v>
      </c>
      <c r="I869" s="2">
        <v>0</v>
      </c>
      <c r="J869" s="1">
        <v>46003.388171296298</v>
      </c>
    </row>
    <row r="870" spans="1:10" x14ac:dyDescent="0.2">
      <c r="A870" s="4" t="s">
        <v>0</v>
      </c>
      <c r="B870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0" s="3" t="str">
        <f>HYPERLINK("https://otsuka-europe-crm.veevavault.com/ui/#object/sent_email__v/VBL00000000Z023", "SE-001396576")</f>
        <v>SE-001396576</v>
      </c>
      <c r="D870" s="1" t="s">
        <v>1</v>
      </c>
      <c r="E870" s="2">
        <v>0</v>
      </c>
      <c r="F870" s="2">
        <v>0</v>
      </c>
      <c r="G870" s="2">
        <v>0</v>
      </c>
      <c r="H870" s="1" t="s">
        <v>1</v>
      </c>
      <c r="I870" s="2">
        <v>0</v>
      </c>
      <c r="J870" s="1">
        <v>46003.458379629628</v>
      </c>
    </row>
    <row r="871" spans="1:10" x14ac:dyDescent="0.2">
      <c r="A871" s="4" t="s">
        <v>0</v>
      </c>
      <c r="B871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1" s="3" t="str">
        <f>HYPERLINK("https://otsuka-europe-crm.veevavault.com/ui/#object/sent_email__v/VBL000000011017", "SE-001396633")</f>
        <v>SE-001396633</v>
      </c>
      <c r="D871" s="1" t="s">
        <v>1</v>
      </c>
      <c r="E871" s="2">
        <v>0</v>
      </c>
      <c r="F871" s="2">
        <v>0</v>
      </c>
      <c r="G871" s="2">
        <v>0</v>
      </c>
      <c r="H871" s="1" t="s">
        <v>1</v>
      </c>
      <c r="I871" s="2">
        <v>0</v>
      </c>
      <c r="J871" s="1">
        <v>46006.37363425926</v>
      </c>
    </row>
    <row r="872" spans="1:10" x14ac:dyDescent="0.2">
      <c r="A872" s="4" t="s">
        <v>0</v>
      </c>
      <c r="B872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2" s="3" t="str">
        <f>HYPERLINK("https://otsuka-europe-crm.veevavault.com/ui/#object/sent_email__v/VBL000000011289", "SE-001397045")</f>
        <v>SE-001397045</v>
      </c>
      <c r="D872" s="1" t="s">
        <v>1</v>
      </c>
      <c r="E872" s="2">
        <v>0</v>
      </c>
      <c r="F872" s="2">
        <v>0</v>
      </c>
      <c r="G872" s="2">
        <v>0</v>
      </c>
      <c r="H872" s="1" t="s">
        <v>1</v>
      </c>
      <c r="I872" s="2">
        <v>0</v>
      </c>
      <c r="J872" s="1">
        <v>46008.4059375</v>
      </c>
    </row>
    <row r="873" spans="1:10" x14ac:dyDescent="0.2">
      <c r="A873" s="4" t="s">
        <v>0</v>
      </c>
      <c r="B873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3" s="3" t="str">
        <f>HYPERLINK("https://otsuka-europe-crm.veevavault.com/ui/#object/sent_email__v/VBL000000016546", "SE-001400853")</f>
        <v>SE-001400853</v>
      </c>
      <c r="D873" s="1" t="s">
        <v>1</v>
      </c>
      <c r="E873" s="2">
        <v>0</v>
      </c>
      <c r="F873" s="2">
        <v>0</v>
      </c>
      <c r="G873" s="2">
        <v>0</v>
      </c>
      <c r="H873" s="1" t="s">
        <v>1</v>
      </c>
      <c r="I873" s="2">
        <v>0</v>
      </c>
      <c r="J873" s="1">
        <v>46045.452175925922</v>
      </c>
    </row>
    <row r="874" spans="1:10" x14ac:dyDescent="0.2">
      <c r="A874" s="4" t="s">
        <v>0</v>
      </c>
      <c r="B874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4" s="3" t="str">
        <f>HYPERLINK("https://otsuka-europe-crm.veevavault.com/ui/#object/sent_email__v/VBL000000018012", "SE-001402026")</f>
        <v>SE-001402026</v>
      </c>
      <c r="D874" s="1" t="s">
        <v>1</v>
      </c>
      <c r="E874" s="2">
        <v>0</v>
      </c>
      <c r="F874" s="2">
        <v>0</v>
      </c>
      <c r="G874" s="2">
        <v>0</v>
      </c>
      <c r="H874" s="1" t="s">
        <v>1</v>
      </c>
      <c r="I874" s="2">
        <v>0</v>
      </c>
      <c r="J874" s="1">
        <v>46050.364166666666</v>
      </c>
    </row>
    <row r="875" spans="1:10" x14ac:dyDescent="0.2">
      <c r="A875" s="4" t="s">
        <v>0</v>
      </c>
      <c r="B875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5" s="3" t="str">
        <f>HYPERLINK("https://otsuka-europe-crm.veevavault.com/ui/#object/sent_email__v/VBL00000001B024", "SE-001402970")</f>
        <v>SE-001402970</v>
      </c>
      <c r="D875" s="1" t="s">
        <v>1</v>
      </c>
      <c r="E875" s="2">
        <v>0</v>
      </c>
      <c r="F875" s="2">
        <v>0</v>
      </c>
      <c r="G875" s="2">
        <v>0</v>
      </c>
      <c r="H875" s="1" t="s">
        <v>1</v>
      </c>
      <c r="I875" s="2">
        <v>0</v>
      </c>
      <c r="J875" s="1">
        <v>46059.37158564815</v>
      </c>
    </row>
    <row r="876" spans="1:10" x14ac:dyDescent="0.2">
      <c r="A876" s="4" t="s">
        <v>0</v>
      </c>
      <c r="B876" s="3" t="str">
        <f>HYPERLINK("https://otsuka-europe-crm.veevavault.com/ui/#object/approved_document__v/V5OZ025E82U22VX", "VAE AT E-REP - Symposiumsbericht ÖGN Wintermeeting 2025 (Rheumatologie)")</f>
        <v>VAE AT E-REP - Symposiumsbericht ÖGN Wintermeeting 2025 (Rheumatologie)</v>
      </c>
      <c r="C876" s="3" t="str">
        <f>HYPERLINK("https://otsuka-europe-crm.veevavault.com/ui/#object/sent_email__v/VBL00000001G287", "SE-001405514")</f>
        <v>SE-001405514</v>
      </c>
      <c r="D876" s="1" t="s">
        <v>1</v>
      </c>
      <c r="E876" s="2">
        <v>0</v>
      </c>
      <c r="F876" s="2">
        <v>0</v>
      </c>
      <c r="G876" s="2">
        <v>0</v>
      </c>
      <c r="H876" s="1" t="s">
        <v>1</v>
      </c>
      <c r="I876" s="2">
        <v>0</v>
      </c>
      <c r="J876" s="1">
        <v>46076.239699074074</v>
      </c>
    </row>
    <row r="877" spans="1:10" x14ac:dyDescent="0.2">
      <c r="A877" s="4" t="s">
        <v>0</v>
      </c>
      <c r="B877" s="3" t="str">
        <f>HYPERLINK("https://otsuka-europe-crm.veevavault.com/ui/#object/approved_document__v/V5OZ025E82TMXNA", "VAE AT Inaqovi EREP - Einladung Summed Up 30.09.25")</f>
        <v>VAE AT Inaqovi EREP - Einladung Summed Up 30.09.25</v>
      </c>
      <c r="C877" s="3" t="str">
        <f>HYPERLINK("https://otsuka-europe-crm.veevavault.com/ui/#object/sent_email__v/VBLZ025E82GOYN9", "SE-000275624")</f>
        <v>SE-000275624</v>
      </c>
      <c r="D877" s="1" t="s">
        <v>1</v>
      </c>
      <c r="E877" s="2">
        <v>0</v>
      </c>
      <c r="F877" s="2">
        <v>0</v>
      </c>
      <c r="G877" s="2">
        <v>0</v>
      </c>
      <c r="H877" s="1" t="s">
        <v>1</v>
      </c>
      <c r="I877" s="2">
        <v>0</v>
      </c>
      <c r="J877" s="1">
        <v>45916.311481481483</v>
      </c>
    </row>
    <row r="878" spans="1:10" x14ac:dyDescent="0.2">
      <c r="A878" s="4" t="s">
        <v>0</v>
      </c>
      <c r="B878" s="3" t="str">
        <f>HYPERLINK("https://otsuka-europe-crm.veevavault.com/ui/#object/approved_document__v/V5OZ025E82TMXNA", "VAE AT Inaqovi EREP - Einladung Summed Up 30.09.25")</f>
        <v>VAE AT Inaqovi EREP - Einladung Summed Up 30.09.25</v>
      </c>
      <c r="C878" s="3" t="str">
        <f>HYPERLINK("https://otsuka-europe-crm.veevavault.com/ui/#object/sent_email__v/VBLZ025E82GTUC9", "SE-000276712")</f>
        <v>SE-000276712</v>
      </c>
      <c r="D878" s="1" t="s">
        <v>1</v>
      </c>
      <c r="E878" s="2">
        <v>0</v>
      </c>
      <c r="F878" s="2">
        <v>0</v>
      </c>
      <c r="G878" s="2">
        <v>0</v>
      </c>
      <c r="H878" s="1" t="s">
        <v>1</v>
      </c>
      <c r="I878" s="2">
        <v>0</v>
      </c>
      <c r="J878" s="1">
        <v>45919.353506944448</v>
      </c>
    </row>
    <row r="879" spans="1:10" x14ac:dyDescent="0.2">
      <c r="A879" s="4" t="s">
        <v>0</v>
      </c>
      <c r="B879" s="3" t="str">
        <f>HYPERLINK("https://otsuka-europe-crm.veevavault.com/ui/#object/approved_document__v/V5OZ025E82TMXNA", "VAE AT Inaqovi EREP - Einladung Summed Up 30.09.25")</f>
        <v>VAE AT Inaqovi EREP - Einladung Summed Up 30.09.25</v>
      </c>
      <c r="C879" s="3" t="str">
        <f>HYPERLINK("https://otsuka-europe-crm.veevavault.com/ui/#object/sent_email__v/VBLZ025E82GWIBT", "SE-000279753")</f>
        <v>SE-000279753</v>
      </c>
      <c r="D879" s="1" t="s">
        <v>1</v>
      </c>
      <c r="E879" s="2">
        <v>0</v>
      </c>
      <c r="F879" s="2">
        <v>0</v>
      </c>
      <c r="G879" s="2">
        <v>0</v>
      </c>
      <c r="H879" s="1" t="s">
        <v>1</v>
      </c>
      <c r="I879" s="2">
        <v>0</v>
      </c>
      <c r="J879" s="1">
        <v>45922.661469907405</v>
      </c>
    </row>
    <row r="880" spans="1:10" x14ac:dyDescent="0.2">
      <c r="A880" s="4" t="s">
        <v>0</v>
      </c>
      <c r="B880" s="3" t="str">
        <f>HYPERLINK("https://otsuka-europe-crm.veevavault.com/ui/#object/approved_document__v/V5OZ025E82TMXNA", "VAE AT Inaqovi EREP - Einladung Summed Up 30.09.25")</f>
        <v>VAE AT Inaqovi EREP - Einladung Summed Up 30.09.25</v>
      </c>
      <c r="C880" s="3" t="str">
        <f>HYPERLINK("https://otsuka-europe-crm.veevavault.com/ui/#object/sent_email__v/VBLZ025E82GWISH", "SE-000279754")</f>
        <v>SE-000279754</v>
      </c>
      <c r="D880" s="1" t="s">
        <v>1</v>
      </c>
      <c r="E880" s="2">
        <v>0</v>
      </c>
      <c r="F880" s="2">
        <v>0</v>
      </c>
      <c r="G880" s="2">
        <v>0</v>
      </c>
      <c r="H880" s="1" t="s">
        <v>1</v>
      </c>
      <c r="I880" s="2">
        <v>0</v>
      </c>
      <c r="J880" s="1">
        <v>45922.663668981484</v>
      </c>
    </row>
    <row r="881" spans="1:10" x14ac:dyDescent="0.2">
      <c r="A881" s="4" t="s">
        <v>0</v>
      </c>
      <c r="B881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1" s="3" t="str">
        <f>HYPERLINK("https://otsuka-europe-crm.veevavault.com/ui/#object/sent_email__v/VBLZ025E82GOXHL", "SE-000275610")</f>
        <v>SE-000275610</v>
      </c>
      <c r="D881" s="1" t="s">
        <v>1</v>
      </c>
      <c r="E881" s="2">
        <v>0</v>
      </c>
      <c r="F881" s="2">
        <v>0</v>
      </c>
      <c r="G881" s="2">
        <v>0</v>
      </c>
      <c r="H881" s="1" t="s">
        <v>1</v>
      </c>
      <c r="I881" s="2">
        <v>0</v>
      </c>
      <c r="J881" s="1">
        <v>45916.304803240739</v>
      </c>
    </row>
    <row r="882" spans="1:10" x14ac:dyDescent="0.2">
      <c r="A882" s="4" t="s">
        <v>0</v>
      </c>
      <c r="B882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2" s="3" t="str">
        <f>HYPERLINK("https://otsuka-europe-crm.veevavault.com/ui/#object/sent_email__v/VBLZ025E82GOXKD", "SE-000275611")</f>
        <v>SE-000275611</v>
      </c>
      <c r="D882" s="1" t="s">
        <v>1</v>
      </c>
      <c r="E882" s="2">
        <v>0</v>
      </c>
      <c r="F882" s="2">
        <v>0</v>
      </c>
      <c r="G882" s="2">
        <v>0</v>
      </c>
      <c r="H882" s="1" t="s">
        <v>1</v>
      </c>
      <c r="I882" s="2">
        <v>0</v>
      </c>
      <c r="J882" s="1">
        <v>45916.305891203701</v>
      </c>
    </row>
    <row r="883" spans="1:10" x14ac:dyDescent="0.2">
      <c r="A883" s="4" t="s">
        <v>0</v>
      </c>
      <c r="B883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3" s="3" t="str">
        <f>HYPERLINK("https://otsuka-europe-crm.veevavault.com/ui/#object/sent_email__v/VBLZ025E82GOXPX", "SE-000275612")</f>
        <v>SE-000275612</v>
      </c>
      <c r="D883" s="1">
        <v>45916.313657407409</v>
      </c>
      <c r="E883" s="2">
        <v>1</v>
      </c>
      <c r="F883" s="2">
        <v>2</v>
      </c>
      <c r="G883" s="2">
        <v>0</v>
      </c>
      <c r="H883" s="1" t="s">
        <v>1</v>
      </c>
      <c r="I883" s="2">
        <v>0</v>
      </c>
      <c r="J883" s="1">
        <v>45916.306180555555</v>
      </c>
    </row>
    <row r="884" spans="1:10" x14ac:dyDescent="0.2">
      <c r="A884" s="4" t="s">
        <v>0</v>
      </c>
      <c r="B884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4" s="3" t="str">
        <f>HYPERLINK("https://otsuka-europe-crm.veevavault.com/ui/#object/sent_email__v/VBLZ025E82GOXSP", "SE-000275613")</f>
        <v>SE-000275613</v>
      </c>
      <c r="D884" s="1">
        <v>45916.644467592596</v>
      </c>
      <c r="E884" s="2">
        <v>1</v>
      </c>
      <c r="F884" s="2">
        <v>1</v>
      </c>
      <c r="G884" s="2">
        <v>0</v>
      </c>
      <c r="H884" s="1" t="s">
        <v>1</v>
      </c>
      <c r="I884" s="2">
        <v>0</v>
      </c>
      <c r="J884" s="1">
        <v>45916.306666666664</v>
      </c>
    </row>
    <row r="885" spans="1:10" x14ac:dyDescent="0.2">
      <c r="A885" s="4" t="s">
        <v>0</v>
      </c>
      <c r="B885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5" s="3" t="str">
        <f>HYPERLINK("https://otsuka-europe-crm.veevavault.com/ui/#object/sent_email__v/VBLZ025E82GOXVH", "SE-000275614")</f>
        <v>SE-000275614</v>
      </c>
      <c r="D885" s="1" t="s">
        <v>1</v>
      </c>
      <c r="E885" s="2">
        <v>0</v>
      </c>
      <c r="F885" s="2">
        <v>0</v>
      </c>
      <c r="G885" s="2">
        <v>0</v>
      </c>
      <c r="H885" s="1" t="s">
        <v>1</v>
      </c>
      <c r="I885" s="2">
        <v>0</v>
      </c>
      <c r="J885" s="1">
        <v>45916.307083333333</v>
      </c>
    </row>
    <row r="886" spans="1:10" x14ac:dyDescent="0.2">
      <c r="A886" s="4" t="s">
        <v>0</v>
      </c>
      <c r="B886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6" s="3" t="str">
        <f>HYPERLINK("https://otsuka-europe-crm.veevavault.com/ui/#object/sent_email__v/VBLZ025E82GOXY9", "SE-000275615")</f>
        <v>SE-000275615</v>
      </c>
      <c r="D886" s="1" t="s">
        <v>1</v>
      </c>
      <c r="E886" s="2">
        <v>0</v>
      </c>
      <c r="F886" s="2">
        <v>0</v>
      </c>
      <c r="G886" s="2">
        <v>0</v>
      </c>
      <c r="H886" s="1" t="s">
        <v>1</v>
      </c>
      <c r="I886" s="2">
        <v>0</v>
      </c>
      <c r="J886" s="1">
        <v>45916.307500000003</v>
      </c>
    </row>
    <row r="887" spans="1:10" x14ac:dyDescent="0.2">
      <c r="A887" s="4" t="s">
        <v>0</v>
      </c>
      <c r="B887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7" s="3" t="str">
        <f>HYPERLINK("https://otsuka-europe-crm.veevavault.com/ui/#object/sent_email__v/VBLZ025E82GOY11", "SE-000275616")</f>
        <v>SE-000275616</v>
      </c>
      <c r="D887" s="1">
        <v>45943.756516203706</v>
      </c>
      <c r="E887" s="2">
        <v>1</v>
      </c>
      <c r="F887" s="2">
        <v>6</v>
      </c>
      <c r="G887" s="2">
        <v>0</v>
      </c>
      <c r="H887" s="1" t="s">
        <v>1</v>
      </c>
      <c r="I887" s="2">
        <v>0</v>
      </c>
      <c r="J887" s="1">
        <v>45916.307916666665</v>
      </c>
    </row>
    <row r="888" spans="1:10" x14ac:dyDescent="0.2">
      <c r="A888" s="4" t="s">
        <v>0</v>
      </c>
      <c r="B888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8" s="3" t="str">
        <f>HYPERLINK("https://otsuka-europe-crm.veevavault.com/ui/#object/sent_email__v/VBLZ025E82GOY3T", "SE-000275617")</f>
        <v>SE-000275617</v>
      </c>
      <c r="D888" s="1" t="s">
        <v>1</v>
      </c>
      <c r="E888" s="2">
        <v>0</v>
      </c>
      <c r="F888" s="2">
        <v>0</v>
      </c>
      <c r="G888" s="2">
        <v>0</v>
      </c>
      <c r="H888" s="1" t="s">
        <v>1</v>
      </c>
      <c r="I888" s="2">
        <v>0</v>
      </c>
      <c r="J888" s="1">
        <v>45916.30841435185</v>
      </c>
    </row>
    <row r="889" spans="1:10" x14ac:dyDescent="0.2">
      <c r="A889" s="4" t="s">
        <v>0</v>
      </c>
      <c r="B889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89" s="3" t="str">
        <f>HYPERLINK("https://otsuka-europe-crm.veevavault.com/ui/#object/sent_email__v/VBLZ025E82GOY6L", "SE-000275618")</f>
        <v>SE-000275618</v>
      </c>
      <c r="D889" s="1" t="s">
        <v>1</v>
      </c>
      <c r="E889" s="2">
        <v>0</v>
      </c>
      <c r="F889" s="2">
        <v>0</v>
      </c>
      <c r="G889" s="2">
        <v>0</v>
      </c>
      <c r="H889" s="1" t="s">
        <v>1</v>
      </c>
      <c r="I889" s="2">
        <v>0</v>
      </c>
      <c r="J889" s="1">
        <v>45916.308738425927</v>
      </c>
    </row>
    <row r="890" spans="1:10" x14ac:dyDescent="0.2">
      <c r="A890" s="4" t="s">
        <v>0</v>
      </c>
      <c r="B890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0" s="3" t="str">
        <f>HYPERLINK("https://otsuka-europe-crm.veevavault.com/ui/#object/sent_email__v/VBLZ025E82GOY9D", "SE-000275619")</f>
        <v>SE-000275619</v>
      </c>
      <c r="D890" s="1">
        <v>45916.733842592592</v>
      </c>
      <c r="E890" s="2">
        <v>1</v>
      </c>
      <c r="F890" s="2">
        <v>1</v>
      </c>
      <c r="G890" s="2">
        <v>0</v>
      </c>
      <c r="H890" s="1" t="s">
        <v>1</v>
      </c>
      <c r="I890" s="2">
        <v>0</v>
      </c>
      <c r="J890" s="1">
        <v>45916.30914351852</v>
      </c>
    </row>
    <row r="891" spans="1:10" x14ac:dyDescent="0.2">
      <c r="A891" s="4" t="s">
        <v>0</v>
      </c>
      <c r="B891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1" s="3" t="str">
        <f>HYPERLINK("https://otsuka-europe-crm.veevavault.com/ui/#object/sent_email__v/VBLZ025E82GOYC5", "SE-000275620")</f>
        <v>SE-000275620</v>
      </c>
      <c r="D891" s="1" t="s">
        <v>1</v>
      </c>
      <c r="E891" s="2">
        <v>0</v>
      </c>
      <c r="F891" s="2">
        <v>0</v>
      </c>
      <c r="G891" s="2">
        <v>0</v>
      </c>
      <c r="H891" s="1" t="s">
        <v>1</v>
      </c>
      <c r="I891" s="2">
        <v>0</v>
      </c>
      <c r="J891" s="1">
        <v>45916.309502314813</v>
      </c>
    </row>
    <row r="892" spans="1:10" x14ac:dyDescent="0.2">
      <c r="A892" s="4" t="s">
        <v>0</v>
      </c>
      <c r="B892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2" s="3" t="str">
        <f>HYPERLINK("https://otsuka-europe-crm.veevavault.com/ui/#object/sent_email__v/VBLZ025E82GOYEX", "SE-000275621")</f>
        <v>SE-000275621</v>
      </c>
      <c r="D892" s="1" t="s">
        <v>1</v>
      </c>
      <c r="E892" s="2">
        <v>0</v>
      </c>
      <c r="F892" s="2">
        <v>0</v>
      </c>
      <c r="G892" s="2">
        <v>0</v>
      </c>
      <c r="H892" s="1" t="s">
        <v>1</v>
      </c>
      <c r="I892" s="2">
        <v>0</v>
      </c>
      <c r="J892" s="1">
        <v>45916.310243055559</v>
      </c>
    </row>
    <row r="893" spans="1:10" x14ac:dyDescent="0.2">
      <c r="A893" s="4" t="s">
        <v>0</v>
      </c>
      <c r="B893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3" s="3" t="str">
        <f>HYPERLINK("https://otsuka-europe-crm.veevavault.com/ui/#object/sent_email__v/VBLZ025E82GOYHP", "SE-000275622")</f>
        <v>SE-000275622</v>
      </c>
      <c r="D893" s="1" t="s">
        <v>1</v>
      </c>
      <c r="E893" s="2">
        <v>0</v>
      </c>
      <c r="F893" s="2">
        <v>0</v>
      </c>
      <c r="G893" s="2">
        <v>0</v>
      </c>
      <c r="H893" s="1" t="s">
        <v>1</v>
      </c>
      <c r="I893" s="2">
        <v>0</v>
      </c>
      <c r="J893" s="1">
        <v>45916.310659722221</v>
      </c>
    </row>
    <row r="894" spans="1:10" x14ac:dyDescent="0.2">
      <c r="A894" s="4" t="s">
        <v>0</v>
      </c>
      <c r="B894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4" s="3" t="str">
        <f>HYPERLINK("https://otsuka-europe-crm.veevavault.com/ui/#object/sent_email__v/VBLZ025E82GOYKH", "SE-000275623")</f>
        <v>SE-000275623</v>
      </c>
      <c r="D894" s="1" t="s">
        <v>1</v>
      </c>
      <c r="E894" s="2">
        <v>0</v>
      </c>
      <c r="F894" s="2">
        <v>0</v>
      </c>
      <c r="G894" s="2">
        <v>0</v>
      </c>
      <c r="H894" s="1" t="s">
        <v>1</v>
      </c>
      <c r="I894" s="2">
        <v>0</v>
      </c>
      <c r="J894" s="1">
        <v>45916.311168981483</v>
      </c>
    </row>
    <row r="895" spans="1:10" x14ac:dyDescent="0.2">
      <c r="A895" s="4" t="s">
        <v>0</v>
      </c>
      <c r="B895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5" s="3" t="str">
        <f>HYPERLINK("https://otsuka-europe-crm.veevavault.com/ui/#object/sent_email__v/VBLZ025E82GOYQ1", "SE-000275625")</f>
        <v>SE-000275625</v>
      </c>
      <c r="D895" s="1" t="s">
        <v>1</v>
      </c>
      <c r="E895" s="2">
        <v>0</v>
      </c>
      <c r="F895" s="2">
        <v>0</v>
      </c>
      <c r="G895" s="2">
        <v>0</v>
      </c>
      <c r="H895" s="1" t="s">
        <v>1</v>
      </c>
      <c r="I895" s="2">
        <v>0</v>
      </c>
      <c r="J895" s="1">
        <v>45916.312094907407</v>
      </c>
    </row>
    <row r="896" spans="1:10" x14ac:dyDescent="0.2">
      <c r="A896" s="4" t="s">
        <v>0</v>
      </c>
      <c r="B896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6" s="3" t="str">
        <f>HYPERLINK("https://otsuka-europe-crm.veevavault.com/ui/#object/sent_email__v/VBLZ025E82GOYST", "SE-000275626")</f>
        <v>SE-000275626</v>
      </c>
      <c r="D896" s="1" t="s">
        <v>1</v>
      </c>
      <c r="E896" s="2">
        <v>0</v>
      </c>
      <c r="F896" s="2">
        <v>0</v>
      </c>
      <c r="G896" s="2">
        <v>0</v>
      </c>
      <c r="H896" s="1" t="s">
        <v>1</v>
      </c>
      <c r="I896" s="2">
        <v>0</v>
      </c>
      <c r="J896" s="1">
        <v>45916.312488425923</v>
      </c>
    </row>
    <row r="897" spans="1:10" x14ac:dyDescent="0.2">
      <c r="A897" s="4" t="s">
        <v>0</v>
      </c>
      <c r="B897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7" s="3" t="str">
        <f>HYPERLINK("https://otsuka-europe-crm.veevavault.com/ui/#object/sent_email__v/VBLZ025E82GOYVL", "SE-000275627")</f>
        <v>SE-000275627</v>
      </c>
      <c r="D897" s="1" t="s">
        <v>1</v>
      </c>
      <c r="E897" s="2">
        <v>0</v>
      </c>
      <c r="F897" s="2">
        <v>0</v>
      </c>
      <c r="G897" s="2">
        <v>0</v>
      </c>
      <c r="H897" s="1" t="s">
        <v>1</v>
      </c>
      <c r="I897" s="2">
        <v>0</v>
      </c>
      <c r="J897" s="1">
        <v>45916.312974537039</v>
      </c>
    </row>
    <row r="898" spans="1:10" x14ac:dyDescent="0.2">
      <c r="A898" s="4" t="s">
        <v>0</v>
      </c>
      <c r="B898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8" s="3" t="str">
        <f>HYPERLINK("https://otsuka-europe-crm.veevavault.com/ui/#object/sent_email__v/VBLZ025E82GOYYD", "SE-000275628")</f>
        <v>SE-000275628</v>
      </c>
      <c r="D898" s="1" t="s">
        <v>1</v>
      </c>
      <c r="E898" s="2">
        <v>0</v>
      </c>
      <c r="F898" s="2">
        <v>0</v>
      </c>
      <c r="G898" s="2">
        <v>0</v>
      </c>
      <c r="H898" s="1" t="s">
        <v>1</v>
      </c>
      <c r="I898" s="2">
        <v>0</v>
      </c>
      <c r="J898" s="1">
        <v>45916.313391203701</v>
      </c>
    </row>
    <row r="899" spans="1:10" x14ac:dyDescent="0.2">
      <c r="A899" s="4" t="s">
        <v>0</v>
      </c>
      <c r="B899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899" s="3" t="str">
        <f>HYPERLINK("https://otsuka-europe-crm.veevavault.com/ui/#object/sent_email__v/VBLZ025E82GOZ15", "SE-000275629")</f>
        <v>SE-000275629</v>
      </c>
      <c r="D899" s="1" t="s">
        <v>1</v>
      </c>
      <c r="E899" s="2">
        <v>0</v>
      </c>
      <c r="F899" s="2">
        <v>0</v>
      </c>
      <c r="G899" s="2">
        <v>0</v>
      </c>
      <c r="H899" s="1" t="s">
        <v>1</v>
      </c>
      <c r="I899" s="2">
        <v>0</v>
      </c>
      <c r="J899" s="1">
        <v>45916.313726851855</v>
      </c>
    </row>
    <row r="900" spans="1:10" x14ac:dyDescent="0.2">
      <c r="A900" s="4" t="s">
        <v>0</v>
      </c>
      <c r="B900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0" s="3" t="str">
        <f>HYPERLINK("https://otsuka-europe-crm.veevavault.com/ui/#object/sent_email__v/VBLZ025E82GOZ3X", "SE-000275630")</f>
        <v>SE-000275630</v>
      </c>
      <c r="D900" s="1" t="s">
        <v>1</v>
      </c>
      <c r="E900" s="2">
        <v>0</v>
      </c>
      <c r="F900" s="2">
        <v>0</v>
      </c>
      <c r="G900" s="2">
        <v>0</v>
      </c>
      <c r="H900" s="1" t="s">
        <v>1</v>
      </c>
      <c r="I900" s="2">
        <v>0</v>
      </c>
      <c r="J900" s="1">
        <v>45916.314074074071</v>
      </c>
    </row>
    <row r="901" spans="1:10" x14ac:dyDescent="0.2">
      <c r="A901" s="4" t="s">
        <v>0</v>
      </c>
      <c r="B901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1" s="3" t="str">
        <f>HYPERLINK("https://otsuka-europe-crm.veevavault.com/ui/#object/sent_email__v/VBLZ025E82GOZ6P", "SE-000275631")</f>
        <v>SE-000275631</v>
      </c>
      <c r="D901" s="1" t="s">
        <v>1</v>
      </c>
      <c r="E901" s="2">
        <v>0</v>
      </c>
      <c r="F901" s="2">
        <v>0</v>
      </c>
      <c r="G901" s="2">
        <v>0</v>
      </c>
      <c r="H901" s="1" t="s">
        <v>1</v>
      </c>
      <c r="I901" s="2">
        <v>0</v>
      </c>
      <c r="J901" s="1">
        <v>45916.314375000002</v>
      </c>
    </row>
    <row r="902" spans="1:10" x14ac:dyDescent="0.2">
      <c r="A902" s="4" t="s">
        <v>0</v>
      </c>
      <c r="B902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2" s="3" t="str">
        <f>HYPERLINK("https://otsuka-europe-crm.veevavault.com/ui/#object/sent_email__v/VBLZ025E82GOZ9H", "SE-000275632")</f>
        <v>SE-000275632</v>
      </c>
      <c r="D902" s="1" t="s">
        <v>1</v>
      </c>
      <c r="E902" s="2">
        <v>0</v>
      </c>
      <c r="F902" s="2">
        <v>0</v>
      </c>
      <c r="G902" s="2">
        <v>0</v>
      </c>
      <c r="H902" s="1" t="s">
        <v>1</v>
      </c>
      <c r="I902" s="2">
        <v>0</v>
      </c>
      <c r="J902" s="1">
        <v>45916.314884259256</v>
      </c>
    </row>
    <row r="903" spans="1:10" x14ac:dyDescent="0.2">
      <c r="A903" s="4" t="s">
        <v>0</v>
      </c>
      <c r="B903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3" s="3" t="str">
        <f>HYPERLINK("https://otsuka-europe-crm.veevavault.com/ui/#object/sent_email__v/VBLZ025E82GOZC9", "SE-000275633")</f>
        <v>SE-000275633</v>
      </c>
      <c r="D903" s="1">
        <v>45952.548136574071</v>
      </c>
      <c r="E903" s="2">
        <v>1</v>
      </c>
      <c r="F903" s="2">
        <v>1</v>
      </c>
      <c r="G903" s="2">
        <v>0</v>
      </c>
      <c r="H903" s="1" t="s">
        <v>1</v>
      </c>
      <c r="I903" s="2">
        <v>0</v>
      </c>
      <c r="J903" s="1">
        <v>45916.315266203703</v>
      </c>
    </row>
    <row r="904" spans="1:10" x14ac:dyDescent="0.2">
      <c r="A904" s="4" t="s">
        <v>0</v>
      </c>
      <c r="B904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4" s="3" t="str">
        <f>HYPERLINK("https://otsuka-europe-crm.veevavault.com/ui/#object/sent_email__v/VBLZ025E82GOZF1", "SE-000275634")</f>
        <v>SE-000275634</v>
      </c>
      <c r="D904" s="1" t="s">
        <v>1</v>
      </c>
      <c r="E904" s="2">
        <v>0</v>
      </c>
      <c r="F904" s="2">
        <v>0</v>
      </c>
      <c r="G904" s="2">
        <v>0</v>
      </c>
      <c r="H904" s="1" t="s">
        <v>1</v>
      </c>
      <c r="I904" s="2">
        <v>0</v>
      </c>
      <c r="J904" s="1">
        <v>45916.317997685182</v>
      </c>
    </row>
    <row r="905" spans="1:10" x14ac:dyDescent="0.2">
      <c r="A905" s="4" t="s">
        <v>0</v>
      </c>
      <c r="B905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5" s="3" t="str">
        <f>HYPERLINK("https://otsuka-europe-crm.veevavault.com/ui/#object/sent_email__v/VBLZ025E82GOZHT", "SE-000275635")</f>
        <v>SE-000275635</v>
      </c>
      <c r="D905" s="1" t="s">
        <v>1</v>
      </c>
      <c r="E905" s="2">
        <v>0</v>
      </c>
      <c r="F905" s="2">
        <v>0</v>
      </c>
      <c r="G905" s="2">
        <v>0</v>
      </c>
      <c r="H905" s="1" t="s">
        <v>1</v>
      </c>
      <c r="I905" s="2">
        <v>0</v>
      </c>
      <c r="J905" s="1">
        <v>45916.318425925929</v>
      </c>
    </row>
    <row r="906" spans="1:10" x14ac:dyDescent="0.2">
      <c r="A906" s="4" t="s">
        <v>0</v>
      </c>
      <c r="B906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6" s="3" t="str">
        <f>HYPERLINK("https://otsuka-europe-crm.veevavault.com/ui/#object/sent_email__v/VBLZ025E82GOZKL", "SE-000275636")</f>
        <v>SE-000275636</v>
      </c>
      <c r="D906" s="1" t="s">
        <v>1</v>
      </c>
      <c r="E906" s="2">
        <v>0</v>
      </c>
      <c r="F906" s="2">
        <v>0</v>
      </c>
      <c r="G906" s="2">
        <v>0</v>
      </c>
      <c r="H906" s="1" t="s">
        <v>1</v>
      </c>
      <c r="I906" s="2">
        <v>0</v>
      </c>
      <c r="J906" s="1">
        <v>45916.318796296298</v>
      </c>
    </row>
    <row r="907" spans="1:10" x14ac:dyDescent="0.2">
      <c r="A907" s="4" t="s">
        <v>0</v>
      </c>
      <c r="B907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7" s="3" t="str">
        <f>HYPERLINK("https://otsuka-europe-crm.veevavault.com/ui/#object/sent_email__v/VBLZ025E82GOZND", "SE-000275637")</f>
        <v>SE-000275637</v>
      </c>
      <c r="D907" s="1" t="s">
        <v>1</v>
      </c>
      <c r="E907" s="2">
        <v>0</v>
      </c>
      <c r="F907" s="2">
        <v>0</v>
      </c>
      <c r="G907" s="2">
        <v>0</v>
      </c>
      <c r="H907" s="1" t="s">
        <v>1</v>
      </c>
      <c r="I907" s="2">
        <v>0</v>
      </c>
      <c r="J907" s="1">
        <v>45916.319120370368</v>
      </c>
    </row>
    <row r="908" spans="1:10" x14ac:dyDescent="0.2">
      <c r="A908" s="4" t="s">
        <v>0</v>
      </c>
      <c r="B908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8" s="3" t="str">
        <f>HYPERLINK("https://otsuka-europe-crm.veevavault.com/ui/#object/sent_email__v/VBLZ025E82GOZQ5", "SE-000275638")</f>
        <v>SE-000275638</v>
      </c>
      <c r="D908" s="1" t="s">
        <v>1</v>
      </c>
      <c r="E908" s="2">
        <v>0</v>
      </c>
      <c r="F908" s="2">
        <v>0</v>
      </c>
      <c r="G908" s="2">
        <v>0</v>
      </c>
      <c r="H908" s="1" t="s">
        <v>1</v>
      </c>
      <c r="I908" s="2">
        <v>0</v>
      </c>
      <c r="J908" s="1">
        <v>45916.320011574076</v>
      </c>
    </row>
    <row r="909" spans="1:10" x14ac:dyDescent="0.2">
      <c r="A909" s="4" t="s">
        <v>0</v>
      </c>
      <c r="B909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09" s="3" t="str">
        <f>HYPERLINK("https://otsuka-europe-crm.veevavault.com/ui/#object/sent_email__v/VBLZ025E82GOZSX", "SE-000275639")</f>
        <v>SE-000275639</v>
      </c>
      <c r="D909" s="1" t="s">
        <v>1</v>
      </c>
      <c r="E909" s="2">
        <v>0</v>
      </c>
      <c r="F909" s="2">
        <v>0</v>
      </c>
      <c r="G909" s="2">
        <v>0</v>
      </c>
      <c r="H909" s="1" t="s">
        <v>1</v>
      </c>
      <c r="I909" s="2">
        <v>0</v>
      </c>
      <c r="J909" s="1">
        <v>45916.320335648146</v>
      </c>
    </row>
    <row r="910" spans="1:10" x14ac:dyDescent="0.2">
      <c r="A910" s="4" t="s">
        <v>0</v>
      </c>
      <c r="B910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0" s="3" t="str">
        <f>HYPERLINK("https://otsuka-europe-crm.veevavault.com/ui/#object/sent_email__v/VBLZ025E82GOZVP", "SE-000275640")</f>
        <v>SE-000275640</v>
      </c>
      <c r="D910" s="1" t="s">
        <v>1</v>
      </c>
      <c r="E910" s="2">
        <v>0</v>
      </c>
      <c r="F910" s="2">
        <v>0</v>
      </c>
      <c r="G910" s="2">
        <v>0</v>
      </c>
      <c r="H910" s="1" t="s">
        <v>1</v>
      </c>
      <c r="I910" s="2">
        <v>0</v>
      </c>
      <c r="J910" s="1">
        <v>45916.321238425924</v>
      </c>
    </row>
    <row r="911" spans="1:10" x14ac:dyDescent="0.2">
      <c r="A911" s="4" t="s">
        <v>0</v>
      </c>
      <c r="B911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1" s="3" t="str">
        <f>HYPERLINK("https://otsuka-europe-crm.veevavault.com/ui/#object/sent_email__v/VBLZ025E82GOZYH", "SE-000275641")</f>
        <v>SE-000275641</v>
      </c>
      <c r="D911" s="1" t="s">
        <v>1</v>
      </c>
      <c r="E911" s="2">
        <v>0</v>
      </c>
      <c r="F911" s="2">
        <v>0</v>
      </c>
      <c r="G911" s="2">
        <v>0</v>
      </c>
      <c r="H911" s="1" t="s">
        <v>1</v>
      </c>
      <c r="I911" s="2">
        <v>0</v>
      </c>
      <c r="J911" s="1">
        <v>45916.321516203701</v>
      </c>
    </row>
    <row r="912" spans="1:10" x14ac:dyDescent="0.2">
      <c r="A912" s="4" t="s">
        <v>0</v>
      </c>
      <c r="B912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2" s="3" t="str">
        <f>HYPERLINK("https://otsuka-europe-crm.veevavault.com/ui/#object/sent_email__v/VBLZ025E82GP019", "SE-000275642")</f>
        <v>SE-000275642</v>
      </c>
      <c r="D912" s="1" t="s">
        <v>1</v>
      </c>
      <c r="E912" s="2">
        <v>0</v>
      </c>
      <c r="F912" s="2">
        <v>0</v>
      </c>
      <c r="G912" s="2">
        <v>0</v>
      </c>
      <c r="H912" s="1" t="s">
        <v>1</v>
      </c>
      <c r="I912" s="2">
        <v>0</v>
      </c>
      <c r="J912" s="1">
        <v>45916.322141203702</v>
      </c>
    </row>
    <row r="913" spans="1:10" x14ac:dyDescent="0.2">
      <c r="A913" s="4" t="s">
        <v>0</v>
      </c>
      <c r="B913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3" s="3" t="str">
        <f>HYPERLINK("https://otsuka-europe-crm.veevavault.com/ui/#object/sent_email__v/VBLZ025E82GP041", "SE-000275643")</f>
        <v>SE-000275643</v>
      </c>
      <c r="D913" s="1">
        <v>45916.824641203704</v>
      </c>
      <c r="E913" s="2">
        <v>1</v>
      </c>
      <c r="F913" s="2">
        <v>1</v>
      </c>
      <c r="G913" s="2">
        <v>0</v>
      </c>
      <c r="H913" s="1" t="s">
        <v>1</v>
      </c>
      <c r="I913" s="2">
        <v>0</v>
      </c>
      <c r="J913" s="1">
        <v>45916.322488425925</v>
      </c>
    </row>
    <row r="914" spans="1:10" x14ac:dyDescent="0.2">
      <c r="A914" s="4" t="s">
        <v>0</v>
      </c>
      <c r="B914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4" s="3" t="str">
        <f>HYPERLINK("https://otsuka-europe-crm.veevavault.com/ui/#object/sent_email__v/VBLZ025E82GP06T", "SE-000275644")</f>
        <v>SE-000275644</v>
      </c>
      <c r="D914" s="1" t="s">
        <v>1</v>
      </c>
      <c r="E914" s="2">
        <v>0</v>
      </c>
      <c r="F914" s="2">
        <v>0</v>
      </c>
      <c r="G914" s="2">
        <v>0</v>
      </c>
      <c r="H914" s="1" t="s">
        <v>1</v>
      </c>
      <c r="I914" s="2">
        <v>0</v>
      </c>
      <c r="J914" s="1">
        <v>45916.322893518518</v>
      </c>
    </row>
    <row r="915" spans="1:10" x14ac:dyDescent="0.2">
      <c r="A915" s="4" t="s">
        <v>0</v>
      </c>
      <c r="B915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5" s="3" t="str">
        <f>HYPERLINK("https://otsuka-europe-crm.veevavault.com/ui/#object/sent_email__v/VBLZ025E82GP09L", "SE-000275645")</f>
        <v>SE-000275645</v>
      </c>
      <c r="D915" s="1">
        <v>45924.794907407406</v>
      </c>
      <c r="E915" s="2">
        <v>1</v>
      </c>
      <c r="F915" s="2">
        <v>2</v>
      </c>
      <c r="G915" s="2">
        <v>0</v>
      </c>
      <c r="H915" s="1" t="s">
        <v>1</v>
      </c>
      <c r="I915" s="2">
        <v>0</v>
      </c>
      <c r="J915" s="1">
        <v>45916.323206018518</v>
      </c>
    </row>
    <row r="916" spans="1:10" x14ac:dyDescent="0.2">
      <c r="A916" s="4" t="s">
        <v>0</v>
      </c>
      <c r="B916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6" s="3" t="str">
        <f>HYPERLINK("https://otsuka-europe-crm.veevavault.com/ui/#object/sent_email__v/VBLZ025E82GWTIL", "SE-000280109")</f>
        <v>SE-000280109</v>
      </c>
      <c r="D916" s="1" t="s">
        <v>1</v>
      </c>
      <c r="E916" s="2">
        <v>0</v>
      </c>
      <c r="F916" s="2">
        <v>0</v>
      </c>
      <c r="G916" s="2">
        <v>0</v>
      </c>
      <c r="H916" s="1" t="s">
        <v>1</v>
      </c>
      <c r="I916" s="2">
        <v>0</v>
      </c>
      <c r="J916" s="1">
        <v>45923.324317129627</v>
      </c>
    </row>
    <row r="917" spans="1:10" x14ac:dyDescent="0.2">
      <c r="A917" s="4" t="s">
        <v>0</v>
      </c>
      <c r="B917" s="3" t="str">
        <f>HYPERLINK("https://otsuka-europe-crm.veevavault.com/ui/#object/approved_document__v/V5OZ025E82TMXN9", "VAE AT Inaqovi GRIMALDI - Einladung Summed Up 30.09.25")</f>
        <v>VAE AT Inaqovi GRIMALDI - Einladung Summed Up 30.09.25</v>
      </c>
      <c r="C917" s="3" t="str">
        <f>HYPERLINK("https://otsuka-europe-crm.veevavault.com/ui/#object/sent_email__v/VBLZ025E82H2T99", "SE-000281526")</f>
        <v>SE-000281526</v>
      </c>
      <c r="D917" s="1" t="s">
        <v>1</v>
      </c>
      <c r="E917" s="2">
        <v>0</v>
      </c>
      <c r="F917" s="2">
        <v>0</v>
      </c>
      <c r="G917" s="2">
        <v>0</v>
      </c>
      <c r="H917" s="1" t="s">
        <v>1</v>
      </c>
      <c r="I917" s="2">
        <v>0</v>
      </c>
      <c r="J917" s="1">
        <v>45929.397048611114</v>
      </c>
    </row>
    <row r="918" spans="1:10" x14ac:dyDescent="0.2">
      <c r="A918" t="s">
        <v>0</v>
      </c>
      <c r="B918" s="3" t="str">
        <f>HYPERLINK("https://otsuka-europe-crm.veevavault.com/ui/#object/approved_document__v/V5OZ025E82IECLL", "Disclosure-Consent__Veeva-CRM__AT")</f>
        <v>Disclosure-Consent__Veeva-CRM__AT</v>
      </c>
      <c r="C918" s="3" t="str">
        <f>HYPERLINK("https://otsuka-europe-crm.veevavault.com/ui/#object/sent_email__v/VBL000000001002", "SE-001377681")</f>
        <v>SE-001377681</v>
      </c>
      <c r="D918" s="1">
        <v>45956.661956018521</v>
      </c>
      <c r="E918" s="2">
        <v>1</v>
      </c>
      <c r="F918" s="2">
        <v>2</v>
      </c>
      <c r="G918" s="2">
        <v>1</v>
      </c>
      <c r="H918" s="1">
        <v>45956.660601851851</v>
      </c>
      <c r="I918" s="2">
        <v>1</v>
      </c>
      <c r="J918" s="1">
        <v>45956.65960648148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2026-03-26T13:48:32Z</dcterms:created>
  <dcterms:modified xsi:type="dcterms:W3CDTF">2026-03-26T13:48:43Z</dcterms:modified>
</cp:coreProperties>
</file>