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F795343F-6EF9-AB41-8A3C-4EF60A6FF72D}" xr6:coauthVersionLast="47" xr6:coauthVersionMax="47" xr10:uidLastSave="{00000000-0000-0000-0000-000000000000}"/>
  <bookViews>
    <workbookView xWindow="7260" yWindow="4880" windowWidth="27240" windowHeight="16180" xr2:uid="{F58C3574-82FA-EB42-A230-75AB50E1A943}"/>
  </bookViews>
  <sheets>
    <sheet name="FR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73" i="1" l="1"/>
  <c r="B4373" i="1"/>
  <c r="C4372" i="1"/>
  <c r="B4372" i="1"/>
  <c r="C4371" i="1"/>
  <c r="B4371" i="1"/>
  <c r="C4370" i="1"/>
  <c r="B4370" i="1"/>
  <c r="C4369" i="1"/>
  <c r="B4369" i="1"/>
  <c r="C4368" i="1"/>
  <c r="B4368" i="1"/>
  <c r="C4367" i="1"/>
  <c r="B4367" i="1"/>
  <c r="C4366" i="1"/>
  <c r="B4366" i="1"/>
  <c r="C4365" i="1"/>
  <c r="B4365" i="1"/>
  <c r="C4364" i="1"/>
  <c r="B4364" i="1"/>
  <c r="C4363" i="1"/>
  <c r="B4363" i="1"/>
  <c r="C4362" i="1"/>
  <c r="B4362" i="1"/>
  <c r="C4361" i="1"/>
  <c r="B4361" i="1"/>
  <c r="C4360" i="1"/>
  <c r="B4360" i="1"/>
  <c r="C4359" i="1"/>
  <c r="B4359" i="1"/>
  <c r="C4358" i="1"/>
  <c r="B4358" i="1"/>
  <c r="C4357" i="1"/>
  <c r="B4357" i="1"/>
  <c r="C4356" i="1"/>
  <c r="B4356" i="1"/>
  <c r="C4355" i="1"/>
  <c r="B4355" i="1"/>
  <c r="C4354" i="1"/>
  <c r="B4354" i="1"/>
  <c r="C4353" i="1"/>
  <c r="B4353" i="1"/>
  <c r="C4352" i="1"/>
  <c r="B4352" i="1"/>
  <c r="C4351" i="1"/>
  <c r="B4351" i="1"/>
  <c r="C4350" i="1"/>
  <c r="B4350" i="1"/>
  <c r="C4349" i="1"/>
  <c r="B4349" i="1"/>
  <c r="C4348" i="1"/>
  <c r="B4348" i="1"/>
  <c r="C4347" i="1"/>
  <c r="B4347" i="1"/>
  <c r="C4346" i="1"/>
  <c r="B4346" i="1"/>
  <c r="C4345" i="1"/>
  <c r="B4345" i="1"/>
  <c r="C4344" i="1"/>
  <c r="B4344" i="1"/>
  <c r="C4343" i="1"/>
  <c r="B4343" i="1"/>
  <c r="C4342" i="1"/>
  <c r="B4342" i="1"/>
  <c r="C4341" i="1"/>
  <c r="B4341" i="1"/>
  <c r="C4340" i="1"/>
  <c r="B4340" i="1"/>
  <c r="C4339" i="1"/>
  <c r="B4339" i="1"/>
  <c r="C4338" i="1"/>
  <c r="B4338" i="1"/>
  <c r="C4337" i="1"/>
  <c r="B4337" i="1"/>
  <c r="C4336" i="1"/>
  <c r="B4336" i="1"/>
  <c r="C4335" i="1"/>
  <c r="B4335" i="1"/>
  <c r="C4334" i="1"/>
  <c r="B4334" i="1"/>
  <c r="C4333" i="1"/>
  <c r="B4333" i="1"/>
  <c r="C4332" i="1"/>
  <c r="B4332" i="1"/>
  <c r="C4331" i="1"/>
  <c r="B4331" i="1"/>
  <c r="C4330" i="1"/>
  <c r="B4330" i="1"/>
  <c r="C4329" i="1"/>
  <c r="B4329" i="1"/>
  <c r="C4328" i="1"/>
  <c r="B4328" i="1"/>
  <c r="C4327" i="1"/>
  <c r="B4327" i="1"/>
  <c r="C4326" i="1"/>
  <c r="B4326" i="1"/>
  <c r="C4325" i="1"/>
  <c r="B4325" i="1"/>
  <c r="C4324" i="1"/>
  <c r="B4324" i="1"/>
  <c r="C4323" i="1"/>
  <c r="B4323" i="1"/>
  <c r="C4322" i="1"/>
  <c r="B4322" i="1"/>
  <c r="C4321" i="1"/>
  <c r="B4321" i="1"/>
  <c r="C4320" i="1"/>
  <c r="B4320" i="1"/>
  <c r="C4319" i="1"/>
  <c r="B4319" i="1"/>
  <c r="C4318" i="1"/>
  <c r="B4318" i="1"/>
  <c r="C4317" i="1"/>
  <c r="B4317" i="1"/>
  <c r="C4316" i="1"/>
  <c r="B4316" i="1"/>
  <c r="C4315" i="1"/>
  <c r="B4315" i="1"/>
  <c r="C4314" i="1"/>
  <c r="B4314" i="1"/>
  <c r="C4313" i="1"/>
  <c r="B4313" i="1"/>
  <c r="C4312" i="1"/>
  <c r="B4312" i="1"/>
  <c r="C4311" i="1"/>
  <c r="B4311" i="1"/>
  <c r="C4310" i="1"/>
  <c r="B4310" i="1"/>
  <c r="C4309" i="1"/>
  <c r="B4309" i="1"/>
  <c r="C4308" i="1"/>
  <c r="B4308" i="1"/>
  <c r="C4307" i="1"/>
  <c r="B4307" i="1"/>
  <c r="C4306" i="1"/>
  <c r="B4306" i="1"/>
  <c r="C4305" i="1"/>
  <c r="B4305" i="1"/>
  <c r="C4304" i="1"/>
  <c r="B4304" i="1"/>
  <c r="C4303" i="1"/>
  <c r="B4303" i="1"/>
  <c r="C4302" i="1"/>
  <c r="B4302" i="1"/>
  <c r="C4301" i="1"/>
  <c r="B4301" i="1"/>
  <c r="C4300" i="1"/>
  <c r="B4300" i="1"/>
  <c r="C4299" i="1"/>
  <c r="B4299" i="1"/>
  <c r="C4298" i="1"/>
  <c r="B4298" i="1"/>
  <c r="C4297" i="1"/>
  <c r="B4297" i="1"/>
  <c r="C4296" i="1"/>
  <c r="B4296" i="1"/>
  <c r="C4295" i="1"/>
  <c r="B4295" i="1"/>
  <c r="C4294" i="1"/>
  <c r="B4294" i="1"/>
  <c r="C4293" i="1"/>
  <c r="B4293" i="1"/>
  <c r="C4292" i="1"/>
  <c r="B4292" i="1"/>
  <c r="C4291" i="1"/>
  <c r="B4291" i="1"/>
  <c r="C4290" i="1"/>
  <c r="B4290" i="1"/>
  <c r="C4289" i="1"/>
  <c r="B4289" i="1"/>
  <c r="C4288" i="1"/>
  <c r="B4288" i="1"/>
  <c r="C4287" i="1"/>
  <c r="B4287" i="1"/>
  <c r="C4286" i="1"/>
  <c r="B4286" i="1"/>
  <c r="C4285" i="1"/>
  <c r="B4285" i="1"/>
  <c r="C4284" i="1"/>
  <c r="B4284" i="1"/>
  <c r="C4283" i="1"/>
  <c r="B4283" i="1"/>
  <c r="C4282" i="1"/>
  <c r="B4282" i="1"/>
  <c r="C4281" i="1"/>
  <c r="B4281" i="1"/>
  <c r="C4280" i="1"/>
  <c r="B4280" i="1"/>
  <c r="C4279" i="1"/>
  <c r="B4279" i="1"/>
  <c r="C4278" i="1"/>
  <c r="B4278" i="1"/>
  <c r="C4277" i="1"/>
  <c r="B4277" i="1"/>
  <c r="C4276" i="1"/>
  <c r="B4276" i="1"/>
  <c r="C4275" i="1"/>
  <c r="B4275" i="1"/>
  <c r="C4274" i="1"/>
  <c r="B4274" i="1"/>
  <c r="C4273" i="1"/>
  <c r="B4273" i="1"/>
  <c r="C4272" i="1"/>
  <c r="B4272" i="1"/>
  <c r="C4271" i="1"/>
  <c r="B4271" i="1"/>
  <c r="C4270" i="1"/>
  <c r="B4270" i="1"/>
  <c r="C4269" i="1"/>
  <c r="B4269" i="1"/>
  <c r="C4268" i="1"/>
  <c r="B4268" i="1"/>
  <c r="C4267" i="1"/>
  <c r="B4267" i="1"/>
  <c r="C4266" i="1"/>
  <c r="B4266" i="1"/>
  <c r="C4265" i="1"/>
  <c r="B4265" i="1"/>
  <c r="C4264" i="1"/>
  <c r="B4264" i="1"/>
  <c r="C4263" i="1"/>
  <c r="B4263" i="1"/>
  <c r="C4262" i="1"/>
  <c r="B4262" i="1"/>
  <c r="C4261" i="1"/>
  <c r="B4261" i="1"/>
  <c r="C4260" i="1"/>
  <c r="B4260" i="1"/>
  <c r="C4259" i="1"/>
  <c r="B4259" i="1"/>
  <c r="C4258" i="1"/>
  <c r="B4258" i="1"/>
  <c r="C4257" i="1"/>
  <c r="B4257" i="1"/>
  <c r="C4256" i="1"/>
  <c r="B4256" i="1"/>
  <c r="C4255" i="1"/>
  <c r="B4255" i="1"/>
  <c r="C4254" i="1"/>
  <c r="B4254" i="1"/>
  <c r="C4253" i="1"/>
  <c r="B4253" i="1"/>
  <c r="C4252" i="1"/>
  <c r="B4252" i="1"/>
  <c r="C4251" i="1"/>
  <c r="B4251" i="1"/>
  <c r="C4250" i="1"/>
  <c r="B4250" i="1"/>
  <c r="C4249" i="1"/>
  <c r="B4249" i="1"/>
  <c r="C4248" i="1"/>
  <c r="B4248" i="1"/>
  <c r="C4247" i="1"/>
  <c r="B4247" i="1"/>
  <c r="C4246" i="1"/>
  <c r="B4246" i="1"/>
  <c r="C4245" i="1"/>
  <c r="B4245" i="1"/>
  <c r="C4244" i="1"/>
  <c r="B4244" i="1"/>
  <c r="C4243" i="1"/>
  <c r="B4243" i="1"/>
  <c r="C4242" i="1"/>
  <c r="B4242" i="1"/>
  <c r="C4241" i="1"/>
  <c r="B4241" i="1"/>
  <c r="C4240" i="1"/>
  <c r="B4240" i="1"/>
  <c r="C4239" i="1"/>
  <c r="B4239" i="1"/>
  <c r="C4238" i="1"/>
  <c r="B4238" i="1"/>
  <c r="C4237" i="1"/>
  <c r="B4237" i="1"/>
  <c r="C4236" i="1"/>
  <c r="B4236" i="1"/>
  <c r="C4235" i="1"/>
  <c r="B4235" i="1"/>
  <c r="C4234" i="1"/>
  <c r="B4234" i="1"/>
  <c r="C4233" i="1"/>
  <c r="B4233" i="1"/>
  <c r="C4232" i="1"/>
  <c r="B4232" i="1"/>
  <c r="C4231" i="1"/>
  <c r="B4231" i="1"/>
  <c r="C4230" i="1"/>
  <c r="B4230" i="1"/>
  <c r="C4229" i="1"/>
  <c r="B4229" i="1"/>
  <c r="C4228" i="1"/>
  <c r="B4228" i="1"/>
  <c r="C4227" i="1"/>
  <c r="B4227" i="1"/>
  <c r="C4226" i="1"/>
  <c r="B4226" i="1"/>
  <c r="C4225" i="1"/>
  <c r="B4225" i="1"/>
  <c r="C4224" i="1"/>
  <c r="B4224" i="1"/>
  <c r="C4223" i="1"/>
  <c r="B4223" i="1"/>
  <c r="C4222" i="1"/>
  <c r="B4222" i="1"/>
  <c r="C4221" i="1"/>
  <c r="B4221" i="1"/>
  <c r="C4220" i="1"/>
  <c r="B4220" i="1"/>
  <c r="C4219" i="1"/>
  <c r="B4219" i="1"/>
  <c r="C4218" i="1"/>
  <c r="B4218" i="1"/>
  <c r="C4217" i="1"/>
  <c r="B4217" i="1"/>
  <c r="C4216" i="1"/>
  <c r="B4216" i="1"/>
  <c r="C4215" i="1"/>
  <c r="B4215" i="1"/>
  <c r="C4214" i="1"/>
  <c r="B4214" i="1"/>
  <c r="C4213" i="1"/>
  <c r="B4213" i="1"/>
  <c r="C4212" i="1"/>
  <c r="B4212" i="1"/>
  <c r="C4211" i="1"/>
  <c r="B4211" i="1"/>
  <c r="C4210" i="1"/>
  <c r="B4210" i="1"/>
  <c r="C4209" i="1"/>
  <c r="B4209" i="1"/>
  <c r="C4208" i="1"/>
  <c r="B4208" i="1"/>
  <c r="C4207" i="1"/>
  <c r="B4207" i="1"/>
  <c r="C4206" i="1"/>
  <c r="B4206" i="1"/>
  <c r="C4205" i="1"/>
  <c r="B4205" i="1"/>
  <c r="C4204" i="1"/>
  <c r="B4204" i="1"/>
  <c r="C4203" i="1"/>
  <c r="B4203" i="1"/>
  <c r="C4202" i="1"/>
  <c r="B4202" i="1"/>
  <c r="C4201" i="1"/>
  <c r="B4201" i="1"/>
  <c r="C4200" i="1"/>
  <c r="B4200" i="1"/>
  <c r="C4199" i="1"/>
  <c r="B4199" i="1"/>
  <c r="C4198" i="1"/>
  <c r="B4198" i="1"/>
  <c r="C4197" i="1"/>
  <c r="B4197" i="1"/>
  <c r="C4196" i="1"/>
  <c r="B4196" i="1"/>
  <c r="C4195" i="1"/>
  <c r="B4195" i="1"/>
  <c r="C4194" i="1"/>
  <c r="B4194" i="1"/>
  <c r="C4193" i="1"/>
  <c r="B4193" i="1"/>
  <c r="C4192" i="1"/>
  <c r="B4192" i="1"/>
  <c r="C4191" i="1"/>
  <c r="B4191" i="1"/>
  <c r="C4190" i="1"/>
  <c r="B4190" i="1"/>
  <c r="C4189" i="1"/>
  <c r="B4189" i="1"/>
  <c r="C4188" i="1"/>
  <c r="B4188" i="1"/>
  <c r="C4187" i="1"/>
  <c r="B4187" i="1"/>
  <c r="C4186" i="1"/>
  <c r="B4186" i="1"/>
  <c r="C4185" i="1"/>
  <c r="B4185" i="1"/>
  <c r="C4184" i="1"/>
  <c r="B4184" i="1"/>
  <c r="C4183" i="1"/>
  <c r="B4183" i="1"/>
  <c r="C4182" i="1"/>
  <c r="B4182" i="1"/>
  <c r="C4181" i="1"/>
  <c r="B4181" i="1"/>
  <c r="C4180" i="1"/>
  <c r="B4180" i="1"/>
  <c r="C4179" i="1"/>
  <c r="B4179" i="1"/>
  <c r="C4178" i="1"/>
  <c r="B4178" i="1"/>
  <c r="C4177" i="1"/>
  <c r="B4177" i="1"/>
  <c r="C4176" i="1"/>
  <c r="B4176" i="1"/>
  <c r="C4175" i="1"/>
  <c r="B4175" i="1"/>
  <c r="C4174" i="1"/>
  <c r="B4174" i="1"/>
  <c r="C4173" i="1"/>
  <c r="B4173" i="1"/>
  <c r="C4172" i="1"/>
  <c r="B4172" i="1"/>
  <c r="C4171" i="1"/>
  <c r="B4171" i="1"/>
  <c r="C4170" i="1"/>
  <c r="B4170" i="1"/>
  <c r="C4169" i="1"/>
  <c r="B4169" i="1"/>
  <c r="C4168" i="1"/>
  <c r="B4168" i="1"/>
  <c r="C4167" i="1"/>
  <c r="B4167" i="1"/>
  <c r="C4166" i="1"/>
  <c r="B4166" i="1"/>
  <c r="C4165" i="1"/>
  <c r="B4165" i="1"/>
  <c r="C4164" i="1"/>
  <c r="B4164" i="1"/>
  <c r="C4163" i="1"/>
  <c r="B4163" i="1"/>
  <c r="C4162" i="1"/>
  <c r="B4162" i="1"/>
  <c r="C4161" i="1"/>
  <c r="B4161" i="1"/>
  <c r="C4160" i="1"/>
  <c r="B4160" i="1"/>
  <c r="C4159" i="1"/>
  <c r="B4159" i="1"/>
  <c r="C4158" i="1"/>
  <c r="B4158" i="1"/>
  <c r="C4157" i="1"/>
  <c r="B4157" i="1"/>
  <c r="C4156" i="1"/>
  <c r="B4156" i="1"/>
  <c r="C4155" i="1"/>
  <c r="B4155" i="1"/>
  <c r="C4154" i="1"/>
  <c r="B4154" i="1"/>
  <c r="C4153" i="1"/>
  <c r="B4153" i="1"/>
  <c r="C4152" i="1"/>
  <c r="B4152" i="1"/>
  <c r="C4151" i="1"/>
  <c r="B4151" i="1"/>
  <c r="C4150" i="1"/>
  <c r="B4150" i="1"/>
  <c r="C4149" i="1"/>
  <c r="B4149" i="1"/>
  <c r="C4148" i="1"/>
  <c r="B4148" i="1"/>
  <c r="C4147" i="1"/>
  <c r="B4147" i="1"/>
  <c r="C4146" i="1"/>
  <c r="B4146" i="1"/>
  <c r="C4145" i="1"/>
  <c r="B4145" i="1"/>
  <c r="C4144" i="1"/>
  <c r="B4144" i="1"/>
  <c r="C4143" i="1"/>
  <c r="B4143" i="1"/>
  <c r="C4142" i="1"/>
  <c r="B4142" i="1"/>
  <c r="C4141" i="1"/>
  <c r="B4141" i="1"/>
  <c r="C4140" i="1"/>
  <c r="B4140" i="1"/>
  <c r="C4139" i="1"/>
  <c r="B4139" i="1"/>
  <c r="C4138" i="1"/>
  <c r="B4138" i="1"/>
  <c r="C4137" i="1"/>
  <c r="B4137" i="1"/>
  <c r="C4136" i="1"/>
  <c r="B4136" i="1"/>
  <c r="C4135" i="1"/>
  <c r="B4135" i="1"/>
  <c r="C4134" i="1"/>
  <c r="B4134" i="1"/>
  <c r="C4133" i="1"/>
  <c r="B4133" i="1"/>
  <c r="C4132" i="1"/>
  <c r="B4132" i="1"/>
  <c r="C4131" i="1"/>
  <c r="B4131" i="1"/>
  <c r="C4130" i="1"/>
  <c r="B4130" i="1"/>
  <c r="C4129" i="1"/>
  <c r="B4129" i="1"/>
  <c r="C4128" i="1"/>
  <c r="B4128" i="1"/>
  <c r="C4127" i="1"/>
  <c r="B4127" i="1"/>
  <c r="C4126" i="1"/>
  <c r="B4126" i="1"/>
  <c r="C4125" i="1"/>
  <c r="B4125" i="1"/>
  <c r="C4124" i="1"/>
  <c r="B4124" i="1"/>
  <c r="C4123" i="1"/>
  <c r="B4123" i="1"/>
  <c r="C4122" i="1"/>
  <c r="B4122" i="1"/>
  <c r="C4121" i="1"/>
  <c r="B4121" i="1"/>
  <c r="C4120" i="1"/>
  <c r="B4120" i="1"/>
  <c r="C4119" i="1"/>
  <c r="B4119" i="1"/>
  <c r="C4118" i="1"/>
  <c r="B4118" i="1"/>
  <c r="C4117" i="1"/>
  <c r="B4117" i="1"/>
  <c r="C4116" i="1"/>
  <c r="B4116" i="1"/>
  <c r="C4115" i="1"/>
  <c r="B4115" i="1"/>
  <c r="C4114" i="1"/>
  <c r="B4114" i="1"/>
  <c r="C4113" i="1"/>
  <c r="B4113" i="1"/>
  <c r="C4112" i="1"/>
  <c r="B4112" i="1"/>
  <c r="C4111" i="1"/>
  <c r="B4111" i="1"/>
  <c r="C4110" i="1"/>
  <c r="B4110" i="1"/>
  <c r="C4109" i="1"/>
  <c r="B4109" i="1"/>
  <c r="C4108" i="1"/>
  <c r="B4108" i="1"/>
  <c r="C4107" i="1"/>
  <c r="B4107" i="1"/>
  <c r="C4106" i="1"/>
  <c r="B4106" i="1"/>
  <c r="C4105" i="1"/>
  <c r="B4105" i="1"/>
  <c r="C4104" i="1"/>
  <c r="B4104" i="1"/>
  <c r="C4103" i="1"/>
  <c r="B4103" i="1"/>
  <c r="C4102" i="1"/>
  <c r="B4102" i="1"/>
  <c r="C4101" i="1"/>
  <c r="B4101" i="1"/>
  <c r="C4100" i="1"/>
  <c r="B4100" i="1"/>
  <c r="C4099" i="1"/>
  <c r="B4099" i="1"/>
  <c r="C4098" i="1"/>
  <c r="B4098" i="1"/>
  <c r="C4097" i="1"/>
  <c r="B4097" i="1"/>
  <c r="C4096" i="1"/>
  <c r="B4096" i="1"/>
  <c r="C4095" i="1"/>
  <c r="B4095" i="1"/>
  <c r="C4094" i="1"/>
  <c r="B4094" i="1"/>
  <c r="C4093" i="1"/>
  <c r="B4093" i="1"/>
  <c r="C4092" i="1"/>
  <c r="B4092" i="1"/>
  <c r="C4091" i="1"/>
  <c r="B4091" i="1"/>
  <c r="C4090" i="1"/>
  <c r="B4090" i="1"/>
  <c r="C4089" i="1"/>
  <c r="B4089" i="1"/>
  <c r="C4088" i="1"/>
  <c r="B4088" i="1"/>
  <c r="C4087" i="1"/>
  <c r="B4087" i="1"/>
  <c r="C4086" i="1"/>
  <c r="B4086" i="1"/>
  <c r="C4085" i="1"/>
  <c r="B4085" i="1"/>
  <c r="C4084" i="1"/>
  <c r="B4084" i="1"/>
  <c r="C4083" i="1"/>
  <c r="B4083" i="1"/>
  <c r="C4082" i="1"/>
  <c r="B4082" i="1"/>
  <c r="C4081" i="1"/>
  <c r="B4081" i="1"/>
  <c r="C4080" i="1"/>
  <c r="B4080" i="1"/>
  <c r="C4079" i="1"/>
  <c r="B4079" i="1"/>
  <c r="C4078" i="1"/>
  <c r="B4078" i="1"/>
  <c r="C4077" i="1"/>
  <c r="B4077" i="1"/>
  <c r="C4076" i="1"/>
  <c r="B4076" i="1"/>
  <c r="C4075" i="1"/>
  <c r="B4075" i="1"/>
  <c r="C4074" i="1"/>
  <c r="B4074" i="1"/>
  <c r="C4073" i="1"/>
  <c r="B4073" i="1"/>
  <c r="C4072" i="1"/>
  <c r="B4072" i="1"/>
  <c r="C4071" i="1"/>
  <c r="B4071" i="1"/>
  <c r="C4070" i="1"/>
  <c r="B4070" i="1"/>
  <c r="C4069" i="1"/>
  <c r="B4069" i="1"/>
  <c r="C4068" i="1"/>
  <c r="B4068" i="1"/>
  <c r="C4067" i="1"/>
  <c r="B4067" i="1"/>
  <c r="C4066" i="1"/>
  <c r="B4066" i="1"/>
  <c r="C4065" i="1"/>
  <c r="B4065" i="1"/>
  <c r="C4064" i="1"/>
  <c r="B4064" i="1"/>
  <c r="C4063" i="1"/>
  <c r="B4063" i="1"/>
  <c r="C4062" i="1"/>
  <c r="B4062" i="1"/>
  <c r="C4061" i="1"/>
  <c r="B4061" i="1"/>
  <c r="C4060" i="1"/>
  <c r="B4060" i="1"/>
  <c r="C4059" i="1"/>
  <c r="B4059" i="1"/>
  <c r="C4058" i="1"/>
  <c r="B4058" i="1"/>
  <c r="C4057" i="1"/>
  <c r="B4057" i="1"/>
  <c r="C4056" i="1"/>
  <c r="B4056" i="1"/>
  <c r="C4055" i="1"/>
  <c r="B4055" i="1"/>
  <c r="C4054" i="1"/>
  <c r="B4054" i="1"/>
  <c r="C4053" i="1"/>
  <c r="B4053" i="1"/>
  <c r="C4052" i="1"/>
  <c r="B4052" i="1"/>
  <c r="C4051" i="1"/>
  <c r="B4051" i="1"/>
  <c r="C4050" i="1"/>
  <c r="B4050" i="1"/>
  <c r="C4049" i="1"/>
  <c r="B4049" i="1"/>
  <c r="C4048" i="1"/>
  <c r="B4048" i="1"/>
  <c r="C4047" i="1"/>
  <c r="B4047" i="1"/>
  <c r="C4046" i="1"/>
  <c r="B4046" i="1"/>
  <c r="C4045" i="1"/>
  <c r="B4045" i="1"/>
  <c r="C4044" i="1"/>
  <c r="B4044" i="1"/>
  <c r="C4043" i="1"/>
  <c r="B4043" i="1"/>
  <c r="C4042" i="1"/>
  <c r="B4042" i="1"/>
  <c r="C4041" i="1"/>
  <c r="B4041" i="1"/>
  <c r="C4040" i="1"/>
  <c r="B4040" i="1"/>
  <c r="C4039" i="1"/>
  <c r="B4039" i="1"/>
  <c r="C4038" i="1"/>
  <c r="B4038" i="1"/>
  <c r="C4037" i="1"/>
  <c r="B4037" i="1"/>
  <c r="C4036" i="1"/>
  <c r="B4036" i="1"/>
  <c r="C4035" i="1"/>
  <c r="B4035" i="1"/>
  <c r="C4034" i="1"/>
  <c r="B4034" i="1"/>
  <c r="C4033" i="1"/>
  <c r="B4033" i="1"/>
  <c r="C4032" i="1"/>
  <c r="B4032" i="1"/>
  <c r="C4031" i="1"/>
  <c r="B4031" i="1"/>
  <c r="C4030" i="1"/>
  <c r="B4030" i="1"/>
  <c r="C4029" i="1"/>
  <c r="B4029" i="1"/>
  <c r="C4028" i="1"/>
  <c r="B4028" i="1"/>
  <c r="C4027" i="1"/>
  <c r="B4027" i="1"/>
  <c r="C4026" i="1"/>
  <c r="B4026" i="1"/>
  <c r="C4025" i="1"/>
  <c r="B4025" i="1"/>
  <c r="C4024" i="1"/>
  <c r="B4024" i="1"/>
  <c r="C4023" i="1"/>
  <c r="B4023" i="1"/>
  <c r="C4022" i="1"/>
  <c r="B4022" i="1"/>
  <c r="C4021" i="1"/>
  <c r="B4021" i="1"/>
  <c r="C4020" i="1"/>
  <c r="B4020" i="1"/>
  <c r="C4019" i="1"/>
  <c r="B4019" i="1"/>
  <c r="C4018" i="1"/>
  <c r="B4018" i="1"/>
  <c r="C4017" i="1"/>
  <c r="B4017" i="1"/>
  <c r="C4016" i="1"/>
  <c r="B4016" i="1"/>
  <c r="C4015" i="1"/>
  <c r="B4015" i="1"/>
  <c r="C4014" i="1"/>
  <c r="B4014" i="1"/>
  <c r="C4013" i="1"/>
  <c r="B4013" i="1"/>
  <c r="C4012" i="1"/>
  <c r="B4012" i="1"/>
  <c r="C4011" i="1"/>
  <c r="B4011" i="1"/>
  <c r="C4010" i="1"/>
  <c r="B4010" i="1"/>
  <c r="C4009" i="1"/>
  <c r="B4009" i="1"/>
  <c r="C4008" i="1"/>
  <c r="B4008" i="1"/>
  <c r="C4007" i="1"/>
  <c r="B4007" i="1"/>
  <c r="C4006" i="1"/>
  <c r="B4006" i="1"/>
  <c r="C4005" i="1"/>
  <c r="B4005" i="1"/>
  <c r="C4004" i="1"/>
  <c r="B4004" i="1"/>
  <c r="C4003" i="1"/>
  <c r="B4003" i="1"/>
  <c r="C4002" i="1"/>
  <c r="B4002" i="1"/>
  <c r="C4001" i="1"/>
  <c r="B4001" i="1"/>
  <c r="C4000" i="1"/>
  <c r="B4000" i="1"/>
  <c r="C3999" i="1"/>
  <c r="B3999" i="1"/>
  <c r="C3998" i="1"/>
  <c r="B3998" i="1"/>
  <c r="C3997" i="1"/>
  <c r="B3997" i="1"/>
  <c r="C3996" i="1"/>
  <c r="B3996" i="1"/>
  <c r="C3995" i="1"/>
  <c r="B3995" i="1"/>
  <c r="C3994" i="1"/>
  <c r="B3994" i="1"/>
  <c r="C3993" i="1"/>
  <c r="B3993" i="1"/>
  <c r="C3992" i="1"/>
  <c r="B3992" i="1"/>
  <c r="C3991" i="1"/>
  <c r="B3991" i="1"/>
  <c r="C3990" i="1"/>
  <c r="B3990" i="1"/>
  <c r="C3989" i="1"/>
  <c r="B3989" i="1"/>
  <c r="C3988" i="1"/>
  <c r="B3988" i="1"/>
  <c r="C3987" i="1"/>
  <c r="B3987" i="1"/>
  <c r="C3986" i="1"/>
  <c r="B3986" i="1"/>
  <c r="C3985" i="1"/>
  <c r="B3985" i="1"/>
  <c r="C3984" i="1"/>
  <c r="B3984" i="1"/>
  <c r="C3983" i="1"/>
  <c r="B3983" i="1"/>
  <c r="C3982" i="1"/>
  <c r="B3982" i="1"/>
  <c r="C3981" i="1"/>
  <c r="B3981" i="1"/>
  <c r="C3980" i="1"/>
  <c r="B3980" i="1"/>
  <c r="C3979" i="1"/>
  <c r="B3979" i="1"/>
  <c r="C3978" i="1"/>
  <c r="B3978" i="1"/>
  <c r="C3977" i="1"/>
  <c r="B3977" i="1"/>
  <c r="C3976" i="1"/>
  <c r="B3976" i="1"/>
  <c r="C3975" i="1"/>
  <c r="B3975" i="1"/>
  <c r="C3974" i="1"/>
  <c r="B3974" i="1"/>
  <c r="C3973" i="1"/>
  <c r="B3973" i="1"/>
  <c r="C3972" i="1"/>
  <c r="B3972" i="1"/>
  <c r="C3971" i="1"/>
  <c r="B3971" i="1"/>
  <c r="C3970" i="1"/>
  <c r="B3970" i="1"/>
  <c r="C3969" i="1"/>
  <c r="B3969" i="1"/>
  <c r="C3968" i="1"/>
  <c r="B3968" i="1"/>
  <c r="C3967" i="1"/>
  <c r="B3967" i="1"/>
  <c r="C3966" i="1"/>
  <c r="B3966" i="1"/>
  <c r="C3965" i="1"/>
  <c r="B3965" i="1"/>
  <c r="C3964" i="1"/>
  <c r="B3964" i="1"/>
  <c r="C3963" i="1"/>
  <c r="B3963" i="1"/>
  <c r="C3962" i="1"/>
  <c r="B3962" i="1"/>
  <c r="C3961" i="1"/>
  <c r="B3961" i="1"/>
  <c r="C3960" i="1"/>
  <c r="B3960" i="1"/>
  <c r="C3959" i="1"/>
  <c r="B3959" i="1"/>
  <c r="C3958" i="1"/>
  <c r="B3958" i="1"/>
  <c r="C3957" i="1"/>
  <c r="B3957" i="1"/>
  <c r="C3956" i="1"/>
  <c r="B3956" i="1"/>
  <c r="C3955" i="1"/>
  <c r="B3955" i="1"/>
  <c r="C3954" i="1"/>
  <c r="B3954" i="1"/>
  <c r="C3953" i="1"/>
  <c r="B3953" i="1"/>
  <c r="C3952" i="1"/>
  <c r="B3952" i="1"/>
  <c r="C3951" i="1"/>
  <c r="B3951" i="1"/>
  <c r="C3950" i="1"/>
  <c r="B3950" i="1"/>
  <c r="C3949" i="1"/>
  <c r="B3949" i="1"/>
  <c r="C3948" i="1"/>
  <c r="B3948" i="1"/>
  <c r="C3947" i="1"/>
  <c r="B3947" i="1"/>
  <c r="C3946" i="1"/>
  <c r="B3946" i="1"/>
  <c r="C3945" i="1"/>
  <c r="B3945" i="1"/>
  <c r="C3944" i="1"/>
  <c r="B3944" i="1"/>
  <c r="C3943" i="1"/>
  <c r="B3943" i="1"/>
  <c r="C3942" i="1"/>
  <c r="B3942" i="1"/>
  <c r="C3941" i="1"/>
  <c r="B3941" i="1"/>
  <c r="C3940" i="1"/>
  <c r="B3940" i="1"/>
  <c r="C3939" i="1"/>
  <c r="B3939" i="1"/>
  <c r="C3938" i="1"/>
  <c r="B3938" i="1"/>
  <c r="C3937" i="1"/>
  <c r="B3937" i="1"/>
  <c r="C3936" i="1"/>
  <c r="B3936" i="1"/>
  <c r="C3935" i="1"/>
  <c r="B3935" i="1"/>
  <c r="C3934" i="1"/>
  <c r="B3934" i="1"/>
  <c r="C3933" i="1"/>
  <c r="B3933" i="1"/>
  <c r="C3932" i="1"/>
  <c r="B3932" i="1"/>
  <c r="C3931" i="1"/>
  <c r="B3931" i="1"/>
  <c r="C3930" i="1"/>
  <c r="B3930" i="1"/>
  <c r="C3929" i="1"/>
  <c r="B3929" i="1"/>
  <c r="C3928" i="1"/>
  <c r="B3928" i="1"/>
  <c r="C3927" i="1"/>
  <c r="B3927" i="1"/>
  <c r="C3926" i="1"/>
  <c r="B3926" i="1"/>
  <c r="C3925" i="1"/>
  <c r="B3925" i="1"/>
  <c r="C3924" i="1"/>
  <c r="B3924" i="1"/>
  <c r="C3923" i="1"/>
  <c r="B3923" i="1"/>
  <c r="C3922" i="1"/>
  <c r="B3922" i="1"/>
  <c r="C3921" i="1"/>
  <c r="B3921" i="1"/>
  <c r="C3920" i="1"/>
  <c r="B3920" i="1"/>
  <c r="C3919" i="1"/>
  <c r="B3919" i="1"/>
  <c r="C3918" i="1"/>
  <c r="B3918" i="1"/>
  <c r="C3917" i="1"/>
  <c r="B3917" i="1"/>
  <c r="C3916" i="1"/>
  <c r="B3916" i="1"/>
  <c r="C3915" i="1"/>
  <c r="B3915" i="1"/>
  <c r="C3914" i="1"/>
  <c r="B3914" i="1"/>
  <c r="C3913" i="1"/>
  <c r="B3913" i="1"/>
  <c r="C3912" i="1"/>
  <c r="B3912" i="1"/>
  <c r="C3911" i="1"/>
  <c r="B3911" i="1"/>
  <c r="C3910" i="1"/>
  <c r="B3910" i="1"/>
  <c r="C3909" i="1"/>
  <c r="B3909" i="1"/>
  <c r="C3908" i="1"/>
  <c r="B3908" i="1"/>
  <c r="C3907" i="1"/>
  <c r="B3907" i="1"/>
  <c r="C3906" i="1"/>
  <c r="B3906" i="1"/>
  <c r="C3905" i="1"/>
  <c r="B3905" i="1"/>
  <c r="C3904" i="1"/>
  <c r="B3904" i="1"/>
  <c r="C3903" i="1"/>
  <c r="B3903" i="1"/>
  <c r="C3902" i="1"/>
  <c r="B3902" i="1"/>
  <c r="C3901" i="1"/>
  <c r="B3901" i="1"/>
  <c r="C3900" i="1"/>
  <c r="B3900" i="1"/>
  <c r="C3899" i="1"/>
  <c r="B3899" i="1"/>
  <c r="C3898" i="1"/>
  <c r="B3898" i="1"/>
  <c r="C3897" i="1"/>
  <c r="B3897" i="1"/>
  <c r="C3896" i="1"/>
  <c r="B3896" i="1"/>
  <c r="C3895" i="1"/>
  <c r="B3895" i="1"/>
  <c r="C3894" i="1"/>
  <c r="B3894" i="1"/>
  <c r="C3893" i="1"/>
  <c r="B3893" i="1"/>
  <c r="C3892" i="1"/>
  <c r="B3892" i="1"/>
  <c r="C3891" i="1"/>
  <c r="B3891" i="1"/>
  <c r="C3890" i="1"/>
  <c r="B3890" i="1"/>
  <c r="C3889" i="1"/>
  <c r="B3889" i="1"/>
  <c r="C3888" i="1"/>
  <c r="B3888" i="1"/>
  <c r="C3887" i="1"/>
  <c r="B3887" i="1"/>
  <c r="C3886" i="1"/>
  <c r="B3886" i="1"/>
  <c r="C3885" i="1"/>
  <c r="B3885" i="1"/>
  <c r="C3884" i="1"/>
  <c r="B3884" i="1"/>
  <c r="C3883" i="1"/>
  <c r="B3883" i="1"/>
  <c r="C3882" i="1"/>
  <c r="B3882" i="1"/>
  <c r="C3881" i="1"/>
  <c r="B3881" i="1"/>
  <c r="C3880" i="1"/>
  <c r="B3880" i="1"/>
  <c r="C3879" i="1"/>
  <c r="B3879" i="1"/>
  <c r="C3878" i="1"/>
  <c r="B3878" i="1"/>
  <c r="C3877" i="1"/>
  <c r="B3877" i="1"/>
  <c r="C3876" i="1"/>
  <c r="B3876" i="1"/>
  <c r="C3875" i="1"/>
  <c r="B3875" i="1"/>
  <c r="C3874" i="1"/>
  <c r="B3874" i="1"/>
  <c r="C3873" i="1"/>
  <c r="B3873" i="1"/>
  <c r="C3872" i="1"/>
  <c r="B3872" i="1"/>
  <c r="C3871" i="1"/>
  <c r="B3871" i="1"/>
  <c r="C3870" i="1"/>
  <c r="B3870" i="1"/>
  <c r="C3869" i="1"/>
  <c r="B3869" i="1"/>
  <c r="C3868" i="1"/>
  <c r="B3868" i="1"/>
  <c r="C3867" i="1"/>
  <c r="B3867" i="1"/>
  <c r="C3866" i="1"/>
  <c r="B3866" i="1"/>
  <c r="C3865" i="1"/>
  <c r="B3865" i="1"/>
  <c r="C3864" i="1"/>
  <c r="B3864" i="1"/>
  <c r="C3863" i="1"/>
  <c r="B3863" i="1"/>
  <c r="C3862" i="1"/>
  <c r="B3862" i="1"/>
  <c r="C3861" i="1"/>
  <c r="B3861" i="1"/>
  <c r="C3860" i="1"/>
  <c r="B3860" i="1"/>
  <c r="C3859" i="1"/>
  <c r="B3859" i="1"/>
  <c r="C3858" i="1"/>
  <c r="B3858" i="1"/>
  <c r="C3857" i="1"/>
  <c r="B3857" i="1"/>
  <c r="C3856" i="1"/>
  <c r="B3856" i="1"/>
  <c r="C3855" i="1"/>
  <c r="B3855" i="1"/>
  <c r="C3854" i="1"/>
  <c r="B3854" i="1"/>
  <c r="C3853" i="1"/>
  <c r="B3853" i="1"/>
  <c r="C3852" i="1"/>
  <c r="B3852" i="1"/>
  <c r="C3851" i="1"/>
  <c r="B3851" i="1"/>
  <c r="C3850" i="1"/>
  <c r="B3850" i="1"/>
  <c r="C3849" i="1"/>
  <c r="B3849" i="1"/>
  <c r="C3848" i="1"/>
  <c r="B3848" i="1"/>
  <c r="C3847" i="1"/>
  <c r="B3847" i="1"/>
  <c r="C3846" i="1"/>
  <c r="B3846" i="1"/>
  <c r="C3845" i="1"/>
  <c r="B3845" i="1"/>
  <c r="C3844" i="1"/>
  <c r="B3844" i="1"/>
  <c r="C3843" i="1"/>
  <c r="B3843" i="1"/>
  <c r="C3842" i="1"/>
  <c r="B3842" i="1"/>
  <c r="C3841" i="1"/>
  <c r="B3841" i="1"/>
  <c r="C3840" i="1"/>
  <c r="B3840" i="1"/>
  <c r="C3839" i="1"/>
  <c r="B3839" i="1"/>
  <c r="C3838" i="1"/>
  <c r="B3838" i="1"/>
  <c r="C3837" i="1"/>
  <c r="B3837" i="1"/>
  <c r="C3836" i="1"/>
  <c r="B3836" i="1"/>
  <c r="C3835" i="1"/>
  <c r="B3835" i="1"/>
  <c r="C3834" i="1"/>
  <c r="B3834" i="1"/>
  <c r="C3833" i="1"/>
  <c r="B3833" i="1"/>
  <c r="C3832" i="1"/>
  <c r="B3832" i="1"/>
  <c r="C3831" i="1"/>
  <c r="B3831" i="1"/>
  <c r="C3830" i="1"/>
  <c r="B3830" i="1"/>
  <c r="C3829" i="1"/>
  <c r="B3829" i="1"/>
  <c r="C3828" i="1"/>
  <c r="B3828" i="1"/>
  <c r="C3827" i="1"/>
  <c r="B3827" i="1"/>
  <c r="C3826" i="1"/>
  <c r="B3826" i="1"/>
  <c r="C3825" i="1"/>
  <c r="B3825" i="1"/>
  <c r="C3824" i="1"/>
  <c r="B3824" i="1"/>
  <c r="C3823" i="1"/>
  <c r="B3823" i="1"/>
  <c r="C3822" i="1"/>
  <c r="B3822" i="1"/>
  <c r="C3821" i="1"/>
  <c r="B3821" i="1"/>
  <c r="C3820" i="1"/>
  <c r="B3820" i="1"/>
  <c r="C3819" i="1"/>
  <c r="B3819" i="1"/>
  <c r="C3818" i="1"/>
  <c r="B3818" i="1"/>
  <c r="C3817" i="1"/>
  <c r="B3817" i="1"/>
  <c r="C3816" i="1"/>
  <c r="B3816" i="1"/>
  <c r="C3815" i="1"/>
  <c r="B3815" i="1"/>
  <c r="C3814" i="1"/>
  <c r="B3814" i="1"/>
  <c r="C3813" i="1"/>
  <c r="B3813" i="1"/>
  <c r="C3812" i="1"/>
  <c r="B3812" i="1"/>
  <c r="C3811" i="1"/>
  <c r="B3811" i="1"/>
  <c r="C3810" i="1"/>
  <c r="B3810" i="1"/>
  <c r="C3809" i="1"/>
  <c r="B3809" i="1"/>
  <c r="C3808" i="1"/>
  <c r="B3808" i="1"/>
  <c r="C3807" i="1"/>
  <c r="B3807" i="1"/>
  <c r="C3806" i="1"/>
  <c r="B3806" i="1"/>
  <c r="C3805" i="1"/>
  <c r="B3805" i="1"/>
  <c r="C3804" i="1"/>
  <c r="B3804" i="1"/>
  <c r="C3803" i="1"/>
  <c r="B3803" i="1"/>
  <c r="C3802" i="1"/>
  <c r="B3802" i="1"/>
  <c r="C3801" i="1"/>
  <c r="B3801" i="1"/>
  <c r="C3800" i="1"/>
  <c r="B3800" i="1"/>
  <c r="C3799" i="1"/>
  <c r="B3799" i="1"/>
  <c r="C3798" i="1"/>
  <c r="B3798" i="1"/>
  <c r="C3797" i="1"/>
  <c r="B3797" i="1"/>
  <c r="C3796" i="1"/>
  <c r="B3796" i="1"/>
  <c r="C3795" i="1"/>
  <c r="B3795" i="1"/>
  <c r="C3794" i="1"/>
  <c r="B3794" i="1"/>
  <c r="C3793" i="1"/>
  <c r="B3793" i="1"/>
  <c r="C3792" i="1"/>
  <c r="B3792" i="1"/>
  <c r="C3791" i="1"/>
  <c r="B3791" i="1"/>
  <c r="C3790" i="1"/>
  <c r="B3790" i="1"/>
  <c r="C3789" i="1"/>
  <c r="B3789" i="1"/>
  <c r="C3788" i="1"/>
  <c r="B3788" i="1"/>
  <c r="C3787" i="1"/>
  <c r="B3787" i="1"/>
  <c r="C3786" i="1"/>
  <c r="B3786" i="1"/>
  <c r="C3785" i="1"/>
  <c r="B3785" i="1"/>
  <c r="C3784" i="1"/>
  <c r="B3784" i="1"/>
  <c r="C3783" i="1"/>
  <c r="B3783" i="1"/>
  <c r="C3782" i="1"/>
  <c r="B3782" i="1"/>
  <c r="C3781" i="1"/>
  <c r="B3781" i="1"/>
  <c r="C3780" i="1"/>
  <c r="B3780" i="1"/>
  <c r="C3779" i="1"/>
  <c r="B3779" i="1"/>
  <c r="C3778" i="1"/>
  <c r="B3778" i="1"/>
  <c r="C3777" i="1"/>
  <c r="B3777" i="1"/>
  <c r="C3776" i="1"/>
  <c r="B3776" i="1"/>
  <c r="C3775" i="1"/>
  <c r="B3775" i="1"/>
  <c r="C3774" i="1"/>
  <c r="B3774" i="1"/>
  <c r="C3773" i="1"/>
  <c r="B3773" i="1"/>
  <c r="C3772" i="1"/>
  <c r="B3772" i="1"/>
  <c r="C3771" i="1"/>
  <c r="B3771" i="1"/>
  <c r="C3770" i="1"/>
  <c r="B3770" i="1"/>
  <c r="C3769" i="1"/>
  <c r="B3769" i="1"/>
  <c r="C3768" i="1"/>
  <c r="B3768" i="1"/>
  <c r="C3767" i="1"/>
  <c r="B3767" i="1"/>
  <c r="C3766" i="1"/>
  <c r="B3766" i="1"/>
  <c r="C3765" i="1"/>
  <c r="B3765" i="1"/>
  <c r="C3764" i="1"/>
  <c r="B3764" i="1"/>
  <c r="C3763" i="1"/>
  <c r="B3763" i="1"/>
  <c r="C3762" i="1"/>
  <c r="B3762" i="1"/>
  <c r="C3761" i="1"/>
  <c r="B3761" i="1"/>
  <c r="C3760" i="1"/>
  <c r="B3760" i="1"/>
  <c r="C3759" i="1"/>
  <c r="B3759" i="1"/>
  <c r="C3758" i="1"/>
  <c r="B3758" i="1"/>
  <c r="C3757" i="1"/>
  <c r="B3757" i="1"/>
  <c r="C3756" i="1"/>
  <c r="B3756" i="1"/>
  <c r="C3755" i="1"/>
  <c r="B3755" i="1"/>
  <c r="C3754" i="1"/>
  <c r="B3754" i="1"/>
  <c r="C3753" i="1"/>
  <c r="B3753" i="1"/>
  <c r="C3752" i="1"/>
  <c r="B3752" i="1"/>
  <c r="C3751" i="1"/>
  <c r="B3751" i="1"/>
  <c r="C3750" i="1"/>
  <c r="B3750" i="1"/>
  <c r="C3749" i="1"/>
  <c r="B3749" i="1"/>
  <c r="C3748" i="1"/>
  <c r="B3748" i="1"/>
  <c r="C3747" i="1"/>
  <c r="B3747" i="1"/>
  <c r="C3746" i="1"/>
  <c r="B3746" i="1"/>
  <c r="C3745" i="1"/>
  <c r="B3745" i="1"/>
  <c r="C3744" i="1"/>
  <c r="B3744" i="1"/>
  <c r="C3743" i="1"/>
  <c r="B3743" i="1"/>
  <c r="C3742" i="1"/>
  <c r="B3742" i="1"/>
  <c r="C3741" i="1"/>
  <c r="B3741" i="1"/>
  <c r="C3740" i="1"/>
  <c r="B3740" i="1"/>
  <c r="C3739" i="1"/>
  <c r="B3739" i="1"/>
  <c r="C3738" i="1"/>
  <c r="B3738" i="1"/>
  <c r="C3737" i="1"/>
  <c r="B3737" i="1"/>
  <c r="C3736" i="1"/>
  <c r="B3736" i="1"/>
  <c r="C3735" i="1"/>
  <c r="B3735" i="1"/>
  <c r="C3734" i="1"/>
  <c r="B3734" i="1"/>
  <c r="C3733" i="1"/>
  <c r="B3733" i="1"/>
  <c r="C3732" i="1"/>
  <c r="B3732" i="1"/>
  <c r="C3731" i="1"/>
  <c r="B3731" i="1"/>
  <c r="C3730" i="1"/>
  <c r="B3730" i="1"/>
  <c r="C3729" i="1"/>
  <c r="B3729" i="1"/>
  <c r="C3728" i="1"/>
  <c r="B3728" i="1"/>
  <c r="C3727" i="1"/>
  <c r="B3727" i="1"/>
  <c r="C3726" i="1"/>
  <c r="B3726" i="1"/>
  <c r="C3725" i="1"/>
  <c r="B3725" i="1"/>
  <c r="C3724" i="1"/>
  <c r="B3724" i="1"/>
  <c r="C3723" i="1"/>
  <c r="B3723" i="1"/>
  <c r="C3722" i="1"/>
  <c r="B3722" i="1"/>
  <c r="C3721" i="1"/>
  <c r="B3721" i="1"/>
  <c r="C3720" i="1"/>
  <c r="B3720" i="1"/>
  <c r="C3719" i="1"/>
  <c r="B3719" i="1"/>
  <c r="C3718" i="1"/>
  <c r="B3718" i="1"/>
  <c r="C3717" i="1"/>
  <c r="B3717" i="1"/>
  <c r="C3716" i="1"/>
  <c r="B3716" i="1"/>
  <c r="C3715" i="1"/>
  <c r="B3715" i="1"/>
  <c r="C3714" i="1"/>
  <c r="B3714" i="1"/>
  <c r="C3713" i="1"/>
  <c r="B3713" i="1"/>
  <c r="C3712" i="1"/>
  <c r="B3712" i="1"/>
  <c r="C3711" i="1"/>
  <c r="B3711" i="1"/>
  <c r="C3710" i="1"/>
  <c r="B3710" i="1"/>
  <c r="C3709" i="1"/>
  <c r="B3709" i="1"/>
  <c r="C3708" i="1"/>
  <c r="B3708" i="1"/>
  <c r="C3707" i="1"/>
  <c r="B3707" i="1"/>
  <c r="C3706" i="1"/>
  <c r="B3706" i="1"/>
  <c r="C3705" i="1"/>
  <c r="B3705" i="1"/>
  <c r="C3704" i="1"/>
  <c r="B3704" i="1"/>
  <c r="C3703" i="1"/>
  <c r="B3703" i="1"/>
  <c r="C3702" i="1"/>
  <c r="B3702" i="1"/>
  <c r="C3701" i="1"/>
  <c r="B3701" i="1"/>
  <c r="C3700" i="1"/>
  <c r="B3700" i="1"/>
  <c r="C3699" i="1"/>
  <c r="B3699" i="1"/>
  <c r="C3698" i="1"/>
  <c r="B3698" i="1"/>
  <c r="C3697" i="1"/>
  <c r="B3697" i="1"/>
  <c r="C3696" i="1"/>
  <c r="B3696" i="1"/>
  <c r="C3695" i="1"/>
  <c r="B3695" i="1"/>
  <c r="C3694" i="1"/>
  <c r="B3694" i="1"/>
  <c r="C3693" i="1"/>
  <c r="B3693" i="1"/>
  <c r="C3692" i="1"/>
  <c r="B3692" i="1"/>
  <c r="C3691" i="1"/>
  <c r="B3691" i="1"/>
  <c r="C3690" i="1"/>
  <c r="B3690" i="1"/>
  <c r="C3689" i="1"/>
  <c r="B3689" i="1"/>
  <c r="C3688" i="1"/>
  <c r="B3688" i="1"/>
  <c r="C3687" i="1"/>
  <c r="B3687" i="1"/>
  <c r="C3686" i="1"/>
  <c r="B3686" i="1"/>
  <c r="C3685" i="1"/>
  <c r="B3685" i="1"/>
  <c r="C3684" i="1"/>
  <c r="B3684" i="1"/>
  <c r="C3683" i="1"/>
  <c r="B3683" i="1"/>
  <c r="C3682" i="1"/>
  <c r="B3682" i="1"/>
  <c r="C3681" i="1"/>
  <c r="B3681" i="1"/>
  <c r="C3680" i="1"/>
  <c r="B3680" i="1"/>
  <c r="C3679" i="1"/>
  <c r="B3679" i="1"/>
  <c r="C3678" i="1"/>
  <c r="B3678" i="1"/>
  <c r="C3677" i="1"/>
  <c r="B3677" i="1"/>
  <c r="C3676" i="1"/>
  <c r="B3676" i="1"/>
  <c r="C3675" i="1"/>
  <c r="B3675" i="1"/>
  <c r="C3674" i="1"/>
  <c r="B3674" i="1"/>
  <c r="C3673" i="1"/>
  <c r="B3673" i="1"/>
  <c r="C3672" i="1"/>
  <c r="B3672" i="1"/>
  <c r="C3671" i="1"/>
  <c r="B3671" i="1"/>
  <c r="C3670" i="1"/>
  <c r="B3670" i="1"/>
  <c r="C3669" i="1"/>
  <c r="B3669" i="1"/>
  <c r="C3668" i="1"/>
  <c r="B3668" i="1"/>
  <c r="C3667" i="1"/>
  <c r="B3667" i="1"/>
  <c r="C3666" i="1"/>
  <c r="B3666" i="1"/>
  <c r="C3665" i="1"/>
  <c r="B3665" i="1"/>
  <c r="C3664" i="1"/>
  <c r="B3664" i="1"/>
  <c r="C3663" i="1"/>
  <c r="B3663" i="1"/>
  <c r="C3662" i="1"/>
  <c r="B3662" i="1"/>
  <c r="C3661" i="1"/>
  <c r="B3661" i="1"/>
  <c r="C3660" i="1"/>
  <c r="B3660" i="1"/>
  <c r="C3659" i="1"/>
  <c r="B3659" i="1"/>
  <c r="C3658" i="1"/>
  <c r="B3658" i="1"/>
  <c r="C3657" i="1"/>
  <c r="B3657" i="1"/>
  <c r="C3656" i="1"/>
  <c r="B3656" i="1"/>
  <c r="C3655" i="1"/>
  <c r="B3655" i="1"/>
  <c r="C3654" i="1"/>
  <c r="B3654" i="1"/>
  <c r="C3653" i="1"/>
  <c r="B3653" i="1"/>
  <c r="C3652" i="1"/>
  <c r="B3652" i="1"/>
  <c r="C3651" i="1"/>
  <c r="B3651" i="1"/>
  <c r="C3650" i="1"/>
  <c r="B3650" i="1"/>
  <c r="C3649" i="1"/>
  <c r="B3649" i="1"/>
  <c r="C3648" i="1"/>
  <c r="B3648" i="1"/>
  <c r="C3647" i="1"/>
  <c r="B3647" i="1"/>
  <c r="C3646" i="1"/>
  <c r="B3646" i="1"/>
  <c r="C3645" i="1"/>
  <c r="B3645" i="1"/>
  <c r="C3644" i="1"/>
  <c r="B3644" i="1"/>
  <c r="C3643" i="1"/>
  <c r="B3643" i="1"/>
  <c r="C3642" i="1"/>
  <c r="B3642" i="1"/>
  <c r="C3641" i="1"/>
  <c r="B3641" i="1"/>
  <c r="C3640" i="1"/>
  <c r="B3640" i="1"/>
  <c r="C3639" i="1"/>
  <c r="B3639" i="1"/>
  <c r="C3638" i="1"/>
  <c r="B3638" i="1"/>
  <c r="C3637" i="1"/>
  <c r="B3637" i="1"/>
  <c r="C3636" i="1"/>
  <c r="B3636" i="1"/>
  <c r="C3635" i="1"/>
  <c r="B3635" i="1"/>
  <c r="C3634" i="1"/>
  <c r="B3634" i="1"/>
  <c r="C3633" i="1"/>
  <c r="B3633" i="1"/>
  <c r="C3632" i="1"/>
  <c r="B3632" i="1"/>
  <c r="C3631" i="1"/>
  <c r="B3631" i="1"/>
  <c r="C3630" i="1"/>
  <c r="B3630" i="1"/>
  <c r="C3629" i="1"/>
  <c r="B3629" i="1"/>
  <c r="C3628" i="1"/>
  <c r="B3628" i="1"/>
  <c r="C3627" i="1"/>
  <c r="B3627" i="1"/>
  <c r="C3626" i="1"/>
  <c r="B3626" i="1"/>
  <c r="C3625" i="1"/>
  <c r="B3625" i="1"/>
  <c r="C3624" i="1"/>
  <c r="B3624" i="1"/>
  <c r="C3623" i="1"/>
  <c r="B3623" i="1"/>
  <c r="C3622" i="1"/>
  <c r="B3622" i="1"/>
  <c r="C3621" i="1"/>
  <c r="B3621" i="1"/>
  <c r="C3620" i="1"/>
  <c r="B3620" i="1"/>
  <c r="C3619" i="1"/>
  <c r="B3619" i="1"/>
  <c r="C3618" i="1"/>
  <c r="B3618" i="1"/>
  <c r="C3617" i="1"/>
  <c r="B3617" i="1"/>
  <c r="C3616" i="1"/>
  <c r="B3616" i="1"/>
  <c r="C3615" i="1"/>
  <c r="B3615" i="1"/>
  <c r="C3614" i="1"/>
  <c r="B3614" i="1"/>
  <c r="C3613" i="1"/>
  <c r="B3613" i="1"/>
  <c r="C3612" i="1"/>
  <c r="B3612" i="1"/>
  <c r="C3611" i="1"/>
  <c r="B3611" i="1"/>
  <c r="C3610" i="1"/>
  <c r="B3610" i="1"/>
  <c r="C3609" i="1"/>
  <c r="B3609" i="1"/>
  <c r="C3608" i="1"/>
  <c r="B3608" i="1"/>
  <c r="C3607" i="1"/>
  <c r="B3607" i="1"/>
  <c r="C3606" i="1"/>
  <c r="B3606" i="1"/>
  <c r="C3605" i="1"/>
  <c r="B3605" i="1"/>
  <c r="C3604" i="1"/>
  <c r="B3604" i="1"/>
  <c r="C3603" i="1"/>
  <c r="B3603" i="1"/>
  <c r="C3602" i="1"/>
  <c r="B3602" i="1"/>
  <c r="C3601" i="1"/>
  <c r="B3601" i="1"/>
  <c r="C3600" i="1"/>
  <c r="B3600" i="1"/>
  <c r="C3599" i="1"/>
  <c r="B3599" i="1"/>
  <c r="C3598" i="1"/>
  <c r="B3598" i="1"/>
  <c r="C3597" i="1"/>
  <c r="B3597" i="1"/>
  <c r="C3596" i="1"/>
  <c r="B3596" i="1"/>
  <c r="C3595" i="1"/>
  <c r="B3595" i="1"/>
  <c r="C3594" i="1"/>
  <c r="B3594" i="1"/>
  <c r="C3593" i="1"/>
  <c r="B3593" i="1"/>
  <c r="C3592" i="1"/>
  <c r="B3592" i="1"/>
  <c r="C3591" i="1"/>
  <c r="B3591" i="1"/>
  <c r="C3590" i="1"/>
  <c r="B3590" i="1"/>
  <c r="C3589" i="1"/>
  <c r="B3589" i="1"/>
  <c r="C3588" i="1"/>
  <c r="B3588" i="1"/>
  <c r="C3587" i="1"/>
  <c r="B3587" i="1"/>
  <c r="C3586" i="1"/>
  <c r="B3586" i="1"/>
  <c r="C3585" i="1"/>
  <c r="B3585" i="1"/>
  <c r="C3584" i="1"/>
  <c r="B3584" i="1"/>
  <c r="C3583" i="1"/>
  <c r="B3583" i="1"/>
  <c r="C3582" i="1"/>
  <c r="B3582" i="1"/>
  <c r="C3581" i="1"/>
  <c r="B3581" i="1"/>
  <c r="C3580" i="1"/>
  <c r="B3580" i="1"/>
  <c r="C3579" i="1"/>
  <c r="B3579" i="1"/>
  <c r="C3578" i="1"/>
  <c r="B3578" i="1"/>
  <c r="C3577" i="1"/>
  <c r="B3577" i="1"/>
  <c r="C3576" i="1"/>
  <c r="B3576" i="1"/>
  <c r="C3575" i="1"/>
  <c r="B3575" i="1"/>
  <c r="C3574" i="1"/>
  <c r="B3574" i="1"/>
  <c r="C3573" i="1"/>
  <c r="B3573" i="1"/>
  <c r="C3572" i="1"/>
  <c r="B3572" i="1"/>
  <c r="C3571" i="1"/>
  <c r="B3571" i="1"/>
  <c r="C3570" i="1"/>
  <c r="B3570" i="1"/>
  <c r="C3569" i="1"/>
  <c r="B3569" i="1"/>
  <c r="C3568" i="1"/>
  <c r="B3568" i="1"/>
  <c r="C3567" i="1"/>
  <c r="B3567" i="1"/>
  <c r="C3566" i="1"/>
  <c r="B3566" i="1"/>
  <c r="C3565" i="1"/>
  <c r="B3565" i="1"/>
  <c r="C3564" i="1"/>
  <c r="B3564" i="1"/>
  <c r="C3563" i="1"/>
  <c r="B3563" i="1"/>
  <c r="C3562" i="1"/>
  <c r="B3562" i="1"/>
  <c r="C3561" i="1"/>
  <c r="B3561" i="1"/>
  <c r="C3560" i="1"/>
  <c r="B3560" i="1"/>
  <c r="C3559" i="1"/>
  <c r="B3559" i="1"/>
  <c r="C3558" i="1"/>
  <c r="B3558" i="1"/>
  <c r="C3557" i="1"/>
  <c r="B3557" i="1"/>
  <c r="C3556" i="1"/>
  <c r="B3556" i="1"/>
  <c r="C3555" i="1"/>
  <c r="B3555" i="1"/>
  <c r="C3554" i="1"/>
  <c r="B3554" i="1"/>
  <c r="C3553" i="1"/>
  <c r="B3553" i="1"/>
  <c r="C3552" i="1"/>
  <c r="B3552" i="1"/>
  <c r="C3551" i="1"/>
  <c r="B3551" i="1"/>
  <c r="C3550" i="1"/>
  <c r="B3550" i="1"/>
  <c r="C3549" i="1"/>
  <c r="B3549" i="1"/>
  <c r="C3548" i="1"/>
  <c r="B3548" i="1"/>
  <c r="C3547" i="1"/>
  <c r="B3547" i="1"/>
  <c r="C3546" i="1"/>
  <c r="B3546" i="1"/>
  <c r="C3545" i="1"/>
  <c r="B3545" i="1"/>
  <c r="C3544" i="1"/>
  <c r="B3544" i="1"/>
  <c r="C3543" i="1"/>
  <c r="B3543" i="1"/>
  <c r="C3542" i="1"/>
  <c r="B3542" i="1"/>
  <c r="C3541" i="1"/>
  <c r="B3541" i="1"/>
  <c r="C3540" i="1"/>
  <c r="B3540" i="1"/>
  <c r="C3539" i="1"/>
  <c r="B3539" i="1"/>
  <c r="C3538" i="1"/>
  <c r="B3538" i="1"/>
  <c r="C3537" i="1"/>
  <c r="B3537" i="1"/>
  <c r="C3536" i="1"/>
  <c r="B3536" i="1"/>
  <c r="C3535" i="1"/>
  <c r="B3535" i="1"/>
  <c r="C3534" i="1"/>
  <c r="B3534" i="1"/>
  <c r="C3533" i="1"/>
  <c r="B3533" i="1"/>
  <c r="C3532" i="1"/>
  <c r="B3532" i="1"/>
  <c r="C3531" i="1"/>
  <c r="B3531" i="1"/>
  <c r="C3530" i="1"/>
  <c r="B3530" i="1"/>
  <c r="C3529" i="1"/>
  <c r="B3529" i="1"/>
  <c r="C3528" i="1"/>
  <c r="B3528" i="1"/>
  <c r="C3527" i="1"/>
  <c r="B3527" i="1"/>
  <c r="C3526" i="1"/>
  <c r="B3526" i="1"/>
  <c r="C3525" i="1"/>
  <c r="B3525" i="1"/>
  <c r="C3524" i="1"/>
  <c r="B3524" i="1"/>
  <c r="C3523" i="1"/>
  <c r="B3523" i="1"/>
  <c r="C3522" i="1"/>
  <c r="B3522" i="1"/>
  <c r="C3521" i="1"/>
  <c r="B3521" i="1"/>
  <c r="C3520" i="1"/>
  <c r="B3520" i="1"/>
  <c r="C3519" i="1"/>
  <c r="B3519" i="1"/>
  <c r="C3518" i="1"/>
  <c r="B3518" i="1"/>
  <c r="C3517" i="1"/>
  <c r="B3517" i="1"/>
  <c r="C3516" i="1"/>
  <c r="B3516" i="1"/>
  <c r="C3515" i="1"/>
  <c r="B3515" i="1"/>
  <c r="C3514" i="1"/>
  <c r="B3514" i="1"/>
  <c r="C3513" i="1"/>
  <c r="B3513" i="1"/>
  <c r="C3512" i="1"/>
  <c r="B3512" i="1"/>
  <c r="C3511" i="1"/>
  <c r="B3511" i="1"/>
  <c r="C3510" i="1"/>
  <c r="B3510" i="1"/>
  <c r="C3509" i="1"/>
  <c r="B3509" i="1"/>
  <c r="C3508" i="1"/>
  <c r="B3508" i="1"/>
  <c r="C3507" i="1"/>
  <c r="B3507" i="1"/>
  <c r="C3506" i="1"/>
  <c r="B3506" i="1"/>
  <c r="C3505" i="1"/>
  <c r="B3505" i="1"/>
  <c r="C3504" i="1"/>
  <c r="B3504" i="1"/>
  <c r="C3503" i="1"/>
  <c r="B3503" i="1"/>
  <c r="C3502" i="1"/>
  <c r="B3502" i="1"/>
  <c r="C3501" i="1"/>
  <c r="B3501" i="1"/>
  <c r="C3500" i="1"/>
  <c r="B3500" i="1"/>
  <c r="C3499" i="1"/>
  <c r="B3499" i="1"/>
  <c r="C3498" i="1"/>
  <c r="B3498" i="1"/>
  <c r="C3497" i="1"/>
  <c r="B3497" i="1"/>
  <c r="C3496" i="1"/>
  <c r="B3496" i="1"/>
  <c r="C3495" i="1"/>
  <c r="B3495" i="1"/>
  <c r="C3494" i="1"/>
  <c r="B3494" i="1"/>
  <c r="C3493" i="1"/>
  <c r="B3493" i="1"/>
  <c r="C3492" i="1"/>
  <c r="B3492" i="1"/>
  <c r="C3491" i="1"/>
  <c r="B3491" i="1"/>
  <c r="C3490" i="1"/>
  <c r="B3490" i="1"/>
  <c r="C3489" i="1"/>
  <c r="B3489" i="1"/>
  <c r="C3488" i="1"/>
  <c r="B3488" i="1"/>
  <c r="C3487" i="1"/>
  <c r="B3487" i="1"/>
  <c r="C3486" i="1"/>
  <c r="B3486" i="1"/>
  <c r="C3485" i="1"/>
  <c r="B3485" i="1"/>
  <c r="C3484" i="1"/>
  <c r="B3484" i="1"/>
  <c r="C3483" i="1"/>
  <c r="B3483" i="1"/>
  <c r="C3482" i="1"/>
  <c r="B3482" i="1"/>
  <c r="C3481" i="1"/>
  <c r="B3481" i="1"/>
  <c r="C3480" i="1"/>
  <c r="B3480" i="1"/>
  <c r="C3479" i="1"/>
  <c r="B3479" i="1"/>
  <c r="C3478" i="1"/>
  <c r="B3478" i="1"/>
  <c r="C3477" i="1"/>
  <c r="B3477" i="1"/>
  <c r="C3476" i="1"/>
  <c r="B3476" i="1"/>
  <c r="C3475" i="1"/>
  <c r="B3475" i="1"/>
  <c r="C3474" i="1"/>
  <c r="B3474" i="1"/>
  <c r="C3473" i="1"/>
  <c r="B3473" i="1"/>
  <c r="C3472" i="1"/>
  <c r="B3472" i="1"/>
  <c r="C3471" i="1"/>
  <c r="B3471" i="1"/>
  <c r="C3470" i="1"/>
  <c r="B3470" i="1"/>
  <c r="C3469" i="1"/>
  <c r="B3469" i="1"/>
  <c r="C3468" i="1"/>
  <c r="B3468" i="1"/>
  <c r="C3467" i="1"/>
  <c r="B3467" i="1"/>
  <c r="C3466" i="1"/>
  <c r="B3466" i="1"/>
  <c r="C3465" i="1"/>
  <c r="B3465" i="1"/>
  <c r="C3464" i="1"/>
  <c r="B3464" i="1"/>
  <c r="C3463" i="1"/>
  <c r="B3463" i="1"/>
  <c r="C3462" i="1"/>
  <c r="B3462" i="1"/>
  <c r="C3461" i="1"/>
  <c r="B3461" i="1"/>
  <c r="C3460" i="1"/>
  <c r="B3460" i="1"/>
  <c r="C3459" i="1"/>
  <c r="B3459" i="1"/>
  <c r="C3458" i="1"/>
  <c r="B3458" i="1"/>
  <c r="C3457" i="1"/>
  <c r="B3457" i="1"/>
  <c r="C3456" i="1"/>
  <c r="B3456" i="1"/>
  <c r="C3455" i="1"/>
  <c r="B3455" i="1"/>
  <c r="C3454" i="1"/>
  <c r="B3454" i="1"/>
  <c r="C3453" i="1"/>
  <c r="B3453" i="1"/>
  <c r="C3452" i="1"/>
  <c r="B3452" i="1"/>
  <c r="C3451" i="1"/>
  <c r="B3451" i="1"/>
  <c r="C3450" i="1"/>
  <c r="B3450" i="1"/>
  <c r="C3449" i="1"/>
  <c r="B3449" i="1"/>
  <c r="C3448" i="1"/>
  <c r="B3448" i="1"/>
  <c r="C3447" i="1"/>
  <c r="B3447" i="1"/>
  <c r="C3446" i="1"/>
  <c r="B3446" i="1"/>
  <c r="C3445" i="1"/>
  <c r="B3445" i="1"/>
  <c r="C3444" i="1"/>
  <c r="B3444" i="1"/>
  <c r="C3443" i="1"/>
  <c r="B3443" i="1"/>
  <c r="C3442" i="1"/>
  <c r="B3442" i="1"/>
  <c r="C3441" i="1"/>
  <c r="B3441" i="1"/>
  <c r="C3440" i="1"/>
  <c r="B3440" i="1"/>
  <c r="C3439" i="1"/>
  <c r="B3439" i="1"/>
  <c r="C3438" i="1"/>
  <c r="B3438" i="1"/>
  <c r="C3437" i="1"/>
  <c r="B3437" i="1"/>
  <c r="C3436" i="1"/>
  <c r="B3436" i="1"/>
  <c r="C3435" i="1"/>
  <c r="B3435" i="1"/>
  <c r="C3434" i="1"/>
  <c r="B3434" i="1"/>
  <c r="C3433" i="1"/>
  <c r="B3433" i="1"/>
  <c r="C3432" i="1"/>
  <c r="B3432" i="1"/>
  <c r="C3431" i="1"/>
  <c r="B3431" i="1"/>
  <c r="C3430" i="1"/>
  <c r="B3430" i="1"/>
  <c r="C3429" i="1"/>
  <c r="B3429" i="1"/>
  <c r="C3428" i="1"/>
  <c r="B3428" i="1"/>
  <c r="C3427" i="1"/>
  <c r="B3427" i="1"/>
  <c r="C3426" i="1"/>
  <c r="B3426" i="1"/>
  <c r="C3425" i="1"/>
  <c r="B3425" i="1"/>
  <c r="C3424" i="1"/>
  <c r="B3424" i="1"/>
  <c r="C3423" i="1"/>
  <c r="B3423" i="1"/>
  <c r="C3422" i="1"/>
  <c r="B3422" i="1"/>
  <c r="C3421" i="1"/>
  <c r="B3421" i="1"/>
  <c r="C3420" i="1"/>
  <c r="B3420" i="1"/>
  <c r="C3419" i="1"/>
  <c r="B3419" i="1"/>
  <c r="C3418" i="1"/>
  <c r="B3418" i="1"/>
  <c r="C3417" i="1"/>
  <c r="B3417" i="1"/>
  <c r="C3416" i="1"/>
  <c r="B3416" i="1"/>
  <c r="C3415" i="1"/>
  <c r="B3415" i="1"/>
  <c r="C3414" i="1"/>
  <c r="B3414" i="1"/>
  <c r="C3413" i="1"/>
  <c r="B3413" i="1"/>
  <c r="C3412" i="1"/>
  <c r="B3412" i="1"/>
  <c r="C3411" i="1"/>
  <c r="B3411" i="1"/>
  <c r="C3410" i="1"/>
  <c r="B3410" i="1"/>
  <c r="C3409" i="1"/>
  <c r="B3409" i="1"/>
  <c r="C3408" i="1"/>
  <c r="B3408" i="1"/>
  <c r="C3407" i="1"/>
  <c r="B3407" i="1"/>
  <c r="C3406" i="1"/>
  <c r="B3406" i="1"/>
  <c r="C3405" i="1"/>
  <c r="B3405" i="1"/>
  <c r="C3404" i="1"/>
  <c r="B3404" i="1"/>
  <c r="C3403" i="1"/>
  <c r="B3403" i="1"/>
  <c r="C3402" i="1"/>
  <c r="B3402" i="1"/>
  <c r="C3401" i="1"/>
  <c r="B3401" i="1"/>
  <c r="C3400" i="1"/>
  <c r="B3400" i="1"/>
  <c r="C3399" i="1"/>
  <c r="B3399" i="1"/>
  <c r="C3398" i="1"/>
  <c r="B3398" i="1"/>
  <c r="C3397" i="1"/>
  <c r="B3397" i="1"/>
  <c r="C3396" i="1"/>
  <c r="B3396" i="1"/>
  <c r="C3395" i="1"/>
  <c r="B3395" i="1"/>
  <c r="C3394" i="1"/>
  <c r="B3394" i="1"/>
  <c r="C3393" i="1"/>
  <c r="B3393" i="1"/>
  <c r="C3392" i="1"/>
  <c r="B3392" i="1"/>
  <c r="C3391" i="1"/>
  <c r="B3391" i="1"/>
  <c r="C3390" i="1"/>
  <c r="B3390" i="1"/>
  <c r="C3389" i="1"/>
  <c r="B3389" i="1"/>
  <c r="C3388" i="1"/>
  <c r="B3388" i="1"/>
  <c r="C3387" i="1"/>
  <c r="B3387" i="1"/>
  <c r="C3386" i="1"/>
  <c r="B3386" i="1"/>
  <c r="C3385" i="1"/>
  <c r="B3385" i="1"/>
  <c r="C3384" i="1"/>
  <c r="B3384" i="1"/>
  <c r="C3383" i="1"/>
  <c r="B3383" i="1"/>
  <c r="C3382" i="1"/>
  <c r="B3382" i="1"/>
  <c r="C3381" i="1"/>
  <c r="B3381" i="1"/>
  <c r="C3380" i="1"/>
  <c r="B3380" i="1"/>
  <c r="C3379" i="1"/>
  <c r="B3379" i="1"/>
  <c r="C3378" i="1"/>
  <c r="B3378" i="1"/>
  <c r="C3377" i="1"/>
  <c r="B3377" i="1"/>
  <c r="C3376" i="1"/>
  <c r="B3376" i="1"/>
  <c r="C3375" i="1"/>
  <c r="B3375" i="1"/>
  <c r="C3374" i="1"/>
  <c r="B3374" i="1"/>
  <c r="C3373" i="1"/>
  <c r="B3373" i="1"/>
  <c r="C3372" i="1"/>
  <c r="B3372" i="1"/>
  <c r="C3371" i="1"/>
  <c r="B3371" i="1"/>
  <c r="C3370" i="1"/>
  <c r="B3370" i="1"/>
  <c r="C3369" i="1"/>
  <c r="B3369" i="1"/>
  <c r="C3368" i="1"/>
  <c r="B3368" i="1"/>
  <c r="C3367" i="1"/>
  <c r="B3367" i="1"/>
  <c r="C3366" i="1"/>
  <c r="B3366" i="1"/>
  <c r="C3365" i="1"/>
  <c r="B3365" i="1"/>
  <c r="C3364" i="1"/>
  <c r="B3364" i="1"/>
  <c r="C3363" i="1"/>
  <c r="B3363" i="1"/>
  <c r="C3362" i="1"/>
  <c r="B3362" i="1"/>
  <c r="C3361" i="1"/>
  <c r="B3361" i="1"/>
  <c r="C3360" i="1"/>
  <c r="B3360" i="1"/>
  <c r="C3359" i="1"/>
  <c r="B3359" i="1"/>
  <c r="C3358" i="1"/>
  <c r="B3358" i="1"/>
  <c r="C3357" i="1"/>
  <c r="B3357" i="1"/>
  <c r="C3356" i="1"/>
  <c r="B3356" i="1"/>
  <c r="C3355" i="1"/>
  <c r="B3355" i="1"/>
  <c r="C3354" i="1"/>
  <c r="B3354" i="1"/>
  <c r="C3353" i="1"/>
  <c r="B3353" i="1"/>
  <c r="C3352" i="1"/>
  <c r="B3352" i="1"/>
  <c r="C3351" i="1"/>
  <c r="B3351" i="1"/>
  <c r="C3350" i="1"/>
  <c r="B3350" i="1"/>
  <c r="C3349" i="1"/>
  <c r="B3349" i="1"/>
  <c r="C3348" i="1"/>
  <c r="B3348" i="1"/>
  <c r="C3347" i="1"/>
  <c r="B3347" i="1"/>
  <c r="C3346" i="1"/>
  <c r="B3346" i="1"/>
  <c r="C3345" i="1"/>
  <c r="B3345" i="1"/>
  <c r="C3344" i="1"/>
  <c r="B3344" i="1"/>
  <c r="C3343" i="1"/>
  <c r="B3343" i="1"/>
  <c r="C3342" i="1"/>
  <c r="B3342" i="1"/>
  <c r="C3341" i="1"/>
  <c r="B3341" i="1"/>
  <c r="C3340" i="1"/>
  <c r="B3340" i="1"/>
  <c r="C3339" i="1"/>
  <c r="B3339" i="1"/>
  <c r="C3338" i="1"/>
  <c r="B3338" i="1"/>
  <c r="C3337" i="1"/>
  <c r="B3337" i="1"/>
  <c r="C3336" i="1"/>
  <c r="B3336" i="1"/>
  <c r="C3335" i="1"/>
  <c r="B3335" i="1"/>
  <c r="C3334" i="1"/>
  <c r="B3334" i="1"/>
  <c r="C3333" i="1"/>
  <c r="B3333" i="1"/>
  <c r="C3332" i="1"/>
  <c r="B3332" i="1"/>
  <c r="C3331" i="1"/>
  <c r="B3331" i="1"/>
  <c r="C3330" i="1"/>
  <c r="B3330" i="1"/>
  <c r="C3329" i="1"/>
  <c r="B3329" i="1"/>
  <c r="C3328" i="1"/>
  <c r="B3328" i="1"/>
  <c r="C3327" i="1"/>
  <c r="B3327" i="1"/>
  <c r="C3326" i="1"/>
  <c r="B3326" i="1"/>
  <c r="C3325" i="1"/>
  <c r="B3325" i="1"/>
  <c r="C3324" i="1"/>
  <c r="B3324" i="1"/>
  <c r="C3323" i="1"/>
  <c r="B3323" i="1"/>
  <c r="C3322" i="1"/>
  <c r="B3322" i="1"/>
  <c r="C3321" i="1"/>
  <c r="B3321" i="1"/>
  <c r="C3320" i="1"/>
  <c r="B3320" i="1"/>
  <c r="C3319" i="1"/>
  <c r="B3319" i="1"/>
  <c r="C3318" i="1"/>
  <c r="B3318" i="1"/>
  <c r="C3317" i="1"/>
  <c r="B3317" i="1"/>
  <c r="C3316" i="1"/>
  <c r="B3316" i="1"/>
  <c r="C3315" i="1"/>
  <c r="B3315" i="1"/>
  <c r="C3314" i="1"/>
  <c r="B3314" i="1"/>
  <c r="C3313" i="1"/>
  <c r="B3313" i="1"/>
  <c r="C3312" i="1"/>
  <c r="B3312" i="1"/>
  <c r="C3311" i="1"/>
  <c r="B3311" i="1"/>
  <c r="C3310" i="1"/>
  <c r="B3310" i="1"/>
  <c r="C3309" i="1"/>
  <c r="B3309" i="1"/>
  <c r="C3308" i="1"/>
  <c r="B3308" i="1"/>
  <c r="C3307" i="1"/>
  <c r="B3307" i="1"/>
  <c r="C3306" i="1"/>
  <c r="B3306" i="1"/>
  <c r="C3305" i="1"/>
  <c r="B3305" i="1"/>
  <c r="C3304" i="1"/>
  <c r="B3304" i="1"/>
  <c r="C3303" i="1"/>
  <c r="B3303" i="1"/>
  <c r="C3302" i="1"/>
  <c r="B3302" i="1"/>
  <c r="C3301" i="1"/>
  <c r="B3301" i="1"/>
  <c r="C3300" i="1"/>
  <c r="B3300" i="1"/>
  <c r="C3299" i="1"/>
  <c r="B3299" i="1"/>
  <c r="C3298" i="1"/>
  <c r="B3298" i="1"/>
  <c r="C3297" i="1"/>
  <c r="B3297" i="1"/>
  <c r="C3296" i="1"/>
  <c r="B3296" i="1"/>
  <c r="C3295" i="1"/>
  <c r="B3295" i="1"/>
  <c r="C3294" i="1"/>
  <c r="B3294" i="1"/>
  <c r="C3293" i="1"/>
  <c r="B3293" i="1"/>
  <c r="C3292" i="1"/>
  <c r="B3292" i="1"/>
  <c r="C3291" i="1"/>
  <c r="B3291" i="1"/>
  <c r="C3290" i="1"/>
  <c r="B3290" i="1"/>
  <c r="C3289" i="1"/>
  <c r="B3289" i="1"/>
  <c r="C3288" i="1"/>
  <c r="B3288" i="1"/>
  <c r="C3287" i="1"/>
  <c r="B3287" i="1"/>
  <c r="C3286" i="1"/>
  <c r="B3286" i="1"/>
  <c r="C3285" i="1"/>
  <c r="B3285" i="1"/>
  <c r="C3284" i="1"/>
  <c r="B3284" i="1"/>
  <c r="C3283" i="1"/>
  <c r="B3283" i="1"/>
  <c r="C3282" i="1"/>
  <c r="B3282" i="1"/>
  <c r="C3281" i="1"/>
  <c r="B3281" i="1"/>
  <c r="C3280" i="1"/>
  <c r="B3280" i="1"/>
  <c r="C3279" i="1"/>
  <c r="B3279" i="1"/>
  <c r="C3278" i="1"/>
  <c r="B3278" i="1"/>
  <c r="C3277" i="1"/>
  <c r="B3277" i="1"/>
  <c r="C3276" i="1"/>
  <c r="B3276" i="1"/>
  <c r="C3275" i="1"/>
  <c r="B3275" i="1"/>
  <c r="C3274" i="1"/>
  <c r="B3274" i="1"/>
  <c r="C3273" i="1"/>
  <c r="B3273" i="1"/>
  <c r="C3272" i="1"/>
  <c r="B3272" i="1"/>
  <c r="C3271" i="1"/>
  <c r="B3271" i="1"/>
  <c r="C3270" i="1"/>
  <c r="B3270" i="1"/>
  <c r="C3269" i="1"/>
  <c r="B3269" i="1"/>
  <c r="C3268" i="1"/>
  <c r="B3268" i="1"/>
  <c r="C3267" i="1"/>
  <c r="B3267" i="1"/>
  <c r="C3266" i="1"/>
  <c r="B3266" i="1"/>
  <c r="C3265" i="1"/>
  <c r="B3265" i="1"/>
  <c r="C3264" i="1"/>
  <c r="B3264" i="1"/>
  <c r="C3263" i="1"/>
  <c r="B3263" i="1"/>
  <c r="C3262" i="1"/>
  <c r="B3262" i="1"/>
  <c r="C3261" i="1"/>
  <c r="B3261" i="1"/>
  <c r="C3260" i="1"/>
  <c r="B3260" i="1"/>
  <c r="C3259" i="1"/>
  <c r="B3259" i="1"/>
  <c r="C3258" i="1"/>
  <c r="B3258" i="1"/>
  <c r="C3257" i="1"/>
  <c r="B3257" i="1"/>
  <c r="C3256" i="1"/>
  <c r="B3256" i="1"/>
  <c r="C3255" i="1"/>
  <c r="B3255" i="1"/>
  <c r="C3254" i="1"/>
  <c r="B3254" i="1"/>
  <c r="C3253" i="1"/>
  <c r="B3253" i="1"/>
  <c r="C3252" i="1"/>
  <c r="B3252" i="1"/>
  <c r="C3251" i="1"/>
  <c r="B3251" i="1"/>
  <c r="C3250" i="1"/>
  <c r="B3250" i="1"/>
  <c r="C3249" i="1"/>
  <c r="B3249" i="1"/>
  <c r="C3248" i="1"/>
  <c r="B3248" i="1"/>
  <c r="C3247" i="1"/>
  <c r="B3247" i="1"/>
  <c r="C3246" i="1"/>
  <c r="B3246" i="1"/>
  <c r="C3245" i="1"/>
  <c r="B3245" i="1"/>
  <c r="C3244" i="1"/>
  <c r="B3244" i="1"/>
  <c r="C3243" i="1"/>
  <c r="B3243" i="1"/>
  <c r="C3242" i="1"/>
  <c r="B3242" i="1"/>
  <c r="C3241" i="1"/>
  <c r="B3241" i="1"/>
  <c r="C3240" i="1"/>
  <c r="B3240" i="1"/>
  <c r="C3239" i="1"/>
  <c r="B3239" i="1"/>
  <c r="C3238" i="1"/>
  <c r="B3238" i="1"/>
  <c r="C3237" i="1"/>
  <c r="B3237" i="1"/>
  <c r="C3236" i="1"/>
  <c r="B3236" i="1"/>
  <c r="C3235" i="1"/>
  <c r="B3235" i="1"/>
  <c r="C3234" i="1"/>
  <c r="B3234" i="1"/>
  <c r="C3233" i="1"/>
  <c r="B3233" i="1"/>
  <c r="C3232" i="1"/>
  <c r="B3232" i="1"/>
  <c r="C3231" i="1"/>
  <c r="B3231" i="1"/>
  <c r="C3230" i="1"/>
  <c r="B3230" i="1"/>
  <c r="C3229" i="1"/>
  <c r="B3229" i="1"/>
  <c r="C3228" i="1"/>
  <c r="B3228" i="1"/>
  <c r="C3227" i="1"/>
  <c r="B3227" i="1"/>
  <c r="C3226" i="1"/>
  <c r="B3226" i="1"/>
  <c r="C3225" i="1"/>
  <c r="B3225" i="1"/>
  <c r="C3224" i="1"/>
  <c r="B3224" i="1"/>
  <c r="C3223" i="1"/>
  <c r="B3223" i="1"/>
  <c r="C3222" i="1"/>
  <c r="B3222" i="1"/>
  <c r="C3221" i="1"/>
  <c r="B3221" i="1"/>
  <c r="C3220" i="1"/>
  <c r="B3220" i="1"/>
  <c r="C3219" i="1"/>
  <c r="B3219" i="1"/>
  <c r="C3218" i="1"/>
  <c r="B3218" i="1"/>
  <c r="C3217" i="1"/>
  <c r="B3217" i="1"/>
  <c r="C3216" i="1"/>
  <c r="B3216" i="1"/>
  <c r="C3215" i="1"/>
  <c r="B3215" i="1"/>
  <c r="C3214" i="1"/>
  <c r="B3214" i="1"/>
  <c r="C3213" i="1"/>
  <c r="B3213" i="1"/>
  <c r="C3212" i="1"/>
  <c r="B3212" i="1"/>
  <c r="C3211" i="1"/>
  <c r="B3211" i="1"/>
  <c r="C3210" i="1"/>
  <c r="B3210" i="1"/>
  <c r="C3209" i="1"/>
  <c r="B3209" i="1"/>
  <c r="C3208" i="1"/>
  <c r="B3208" i="1"/>
  <c r="C3207" i="1"/>
  <c r="B3207" i="1"/>
  <c r="C3206" i="1"/>
  <c r="B3206" i="1"/>
  <c r="C3205" i="1"/>
  <c r="B3205" i="1"/>
  <c r="C3204" i="1"/>
  <c r="B3204" i="1"/>
  <c r="C3203" i="1"/>
  <c r="B3203" i="1"/>
  <c r="C3202" i="1"/>
  <c r="B3202" i="1"/>
  <c r="C3201" i="1"/>
  <c r="B3201" i="1"/>
  <c r="C3200" i="1"/>
  <c r="B3200" i="1"/>
  <c r="C3199" i="1"/>
  <c r="B3199" i="1"/>
  <c r="C3198" i="1"/>
  <c r="B3198" i="1"/>
  <c r="C3197" i="1"/>
  <c r="B3197" i="1"/>
  <c r="C3196" i="1"/>
  <c r="B3196" i="1"/>
  <c r="C3195" i="1"/>
  <c r="B3195" i="1"/>
  <c r="C3194" i="1"/>
  <c r="B3194" i="1"/>
  <c r="C3193" i="1"/>
  <c r="B3193" i="1"/>
  <c r="C3192" i="1"/>
  <c r="B3192" i="1"/>
  <c r="C3191" i="1"/>
  <c r="B3191" i="1"/>
  <c r="C3190" i="1"/>
  <c r="B3190" i="1"/>
  <c r="C3189" i="1"/>
  <c r="B3189" i="1"/>
  <c r="C3188" i="1"/>
  <c r="B3188" i="1"/>
  <c r="C3187" i="1"/>
  <c r="B3187" i="1"/>
  <c r="C3186" i="1"/>
  <c r="B3186" i="1"/>
  <c r="C3185" i="1"/>
  <c r="B3185" i="1"/>
  <c r="C3184" i="1"/>
  <c r="B3184" i="1"/>
  <c r="C3183" i="1"/>
  <c r="B3183" i="1"/>
  <c r="C3182" i="1"/>
  <c r="B3182" i="1"/>
  <c r="C3181" i="1"/>
  <c r="B3181" i="1"/>
  <c r="C3180" i="1"/>
  <c r="B3180" i="1"/>
  <c r="C3179" i="1"/>
  <c r="B3179" i="1"/>
  <c r="C3178" i="1"/>
  <c r="B3178" i="1"/>
  <c r="C3177" i="1"/>
  <c r="B3177" i="1"/>
  <c r="C3176" i="1"/>
  <c r="B3176" i="1"/>
  <c r="C3175" i="1"/>
  <c r="B3175" i="1"/>
  <c r="C3174" i="1"/>
  <c r="B3174" i="1"/>
  <c r="C3173" i="1"/>
  <c r="B3173" i="1"/>
  <c r="C3172" i="1"/>
  <c r="B3172" i="1"/>
  <c r="C3171" i="1"/>
  <c r="B3171" i="1"/>
  <c r="C3170" i="1"/>
  <c r="B3170" i="1"/>
  <c r="C3169" i="1"/>
  <c r="B3169" i="1"/>
  <c r="C3168" i="1"/>
  <c r="B3168" i="1"/>
  <c r="C3167" i="1"/>
  <c r="B3167" i="1"/>
  <c r="C3166" i="1"/>
  <c r="B3166" i="1"/>
  <c r="C3165" i="1"/>
  <c r="B3165" i="1"/>
  <c r="C3164" i="1"/>
  <c r="B3164" i="1"/>
  <c r="C3163" i="1"/>
  <c r="B3163" i="1"/>
  <c r="C3162" i="1"/>
  <c r="B3162" i="1"/>
  <c r="C3161" i="1"/>
  <c r="B3161" i="1"/>
  <c r="C3160" i="1"/>
  <c r="B3160" i="1"/>
  <c r="C3159" i="1"/>
  <c r="B3159" i="1"/>
  <c r="C3158" i="1"/>
  <c r="B3158" i="1"/>
  <c r="C3157" i="1"/>
  <c r="B3157" i="1"/>
  <c r="C3156" i="1"/>
  <c r="B3156" i="1"/>
  <c r="C3155" i="1"/>
  <c r="B3155" i="1"/>
  <c r="C3154" i="1"/>
  <c r="B3154" i="1"/>
  <c r="C3153" i="1"/>
  <c r="B3153" i="1"/>
  <c r="C3152" i="1"/>
  <c r="B3152" i="1"/>
  <c r="C3151" i="1"/>
  <c r="B3151" i="1"/>
  <c r="C3150" i="1"/>
  <c r="B3150" i="1"/>
  <c r="C3149" i="1"/>
  <c r="B3149" i="1"/>
  <c r="C3148" i="1"/>
  <c r="B3148" i="1"/>
  <c r="C3147" i="1"/>
  <c r="B3147" i="1"/>
  <c r="C3146" i="1"/>
  <c r="B3146" i="1"/>
  <c r="C3145" i="1"/>
  <c r="B3145" i="1"/>
  <c r="C3144" i="1"/>
  <c r="B3144" i="1"/>
  <c r="C3143" i="1"/>
  <c r="B3143" i="1"/>
  <c r="C3142" i="1"/>
  <c r="B3142" i="1"/>
  <c r="C3141" i="1"/>
  <c r="B3141" i="1"/>
  <c r="C3140" i="1"/>
  <c r="B3140" i="1"/>
  <c r="C3139" i="1"/>
  <c r="B3139" i="1"/>
  <c r="C3138" i="1"/>
  <c r="B3138" i="1"/>
  <c r="C3137" i="1"/>
  <c r="B3137" i="1"/>
  <c r="C3136" i="1"/>
  <c r="B3136" i="1"/>
  <c r="C3135" i="1"/>
  <c r="B3135" i="1"/>
  <c r="C3134" i="1"/>
  <c r="B3134" i="1"/>
  <c r="C3133" i="1"/>
  <c r="B3133" i="1"/>
  <c r="C3132" i="1"/>
  <c r="B3132" i="1"/>
  <c r="C3131" i="1"/>
  <c r="B3131" i="1"/>
  <c r="C3130" i="1"/>
  <c r="B3130" i="1"/>
  <c r="C3129" i="1"/>
  <c r="B3129" i="1"/>
  <c r="C3128" i="1"/>
  <c r="B3128" i="1"/>
  <c r="C3127" i="1"/>
  <c r="B3127" i="1"/>
  <c r="C3126" i="1"/>
  <c r="B3126" i="1"/>
  <c r="C3125" i="1"/>
  <c r="B3125" i="1"/>
  <c r="C3124" i="1"/>
  <c r="B3124" i="1"/>
  <c r="C3123" i="1"/>
  <c r="B3123" i="1"/>
  <c r="C3122" i="1"/>
  <c r="B3122" i="1"/>
  <c r="C3121" i="1"/>
  <c r="B3121" i="1"/>
  <c r="C3120" i="1"/>
  <c r="B3120" i="1"/>
  <c r="C3119" i="1"/>
  <c r="B3119" i="1"/>
  <c r="C3118" i="1"/>
  <c r="B3118" i="1"/>
  <c r="C3117" i="1"/>
  <c r="B3117" i="1"/>
  <c r="C3116" i="1"/>
  <c r="B3116" i="1"/>
  <c r="C3115" i="1"/>
  <c r="B3115" i="1"/>
  <c r="C3114" i="1"/>
  <c r="B3114" i="1"/>
  <c r="C3113" i="1"/>
  <c r="B3113" i="1"/>
  <c r="C3112" i="1"/>
  <c r="B3112" i="1"/>
  <c r="C3111" i="1"/>
  <c r="B3111" i="1"/>
  <c r="C3110" i="1"/>
  <c r="B3110" i="1"/>
  <c r="C3109" i="1"/>
  <c r="B3109" i="1"/>
  <c r="C3108" i="1"/>
  <c r="B3108" i="1"/>
  <c r="C3107" i="1"/>
  <c r="B3107" i="1"/>
  <c r="C3106" i="1"/>
  <c r="B3106" i="1"/>
  <c r="C3105" i="1"/>
  <c r="B3105" i="1"/>
  <c r="C3104" i="1"/>
  <c r="B3104" i="1"/>
  <c r="C3103" i="1"/>
  <c r="B3103" i="1"/>
  <c r="C3102" i="1"/>
  <c r="B3102" i="1"/>
  <c r="C3101" i="1"/>
  <c r="B3101" i="1"/>
  <c r="C3100" i="1"/>
  <c r="B3100" i="1"/>
  <c r="C3099" i="1"/>
  <c r="B3099" i="1"/>
  <c r="C3098" i="1"/>
  <c r="B3098" i="1"/>
  <c r="C3097" i="1"/>
  <c r="B3097" i="1"/>
  <c r="C3096" i="1"/>
  <c r="B3096" i="1"/>
  <c r="C3095" i="1"/>
  <c r="B3095" i="1"/>
  <c r="C3094" i="1"/>
  <c r="B3094" i="1"/>
  <c r="C3093" i="1"/>
  <c r="B3093" i="1"/>
  <c r="C3092" i="1"/>
  <c r="B3092" i="1"/>
  <c r="C3091" i="1"/>
  <c r="B3091" i="1"/>
  <c r="C3090" i="1"/>
  <c r="B3090" i="1"/>
  <c r="C3089" i="1"/>
  <c r="B3089" i="1"/>
  <c r="C3088" i="1"/>
  <c r="B3088" i="1"/>
  <c r="C3087" i="1"/>
  <c r="B3087" i="1"/>
  <c r="C3086" i="1"/>
  <c r="B3086" i="1"/>
  <c r="C3085" i="1"/>
  <c r="B3085" i="1"/>
  <c r="C3084" i="1"/>
  <c r="B3084" i="1"/>
  <c r="C3083" i="1"/>
  <c r="B3083" i="1"/>
  <c r="C3082" i="1"/>
  <c r="B3082" i="1"/>
  <c r="C3081" i="1"/>
  <c r="B3081" i="1"/>
  <c r="C3080" i="1"/>
  <c r="B3080" i="1"/>
  <c r="C3079" i="1"/>
  <c r="B3079" i="1"/>
  <c r="C3078" i="1"/>
  <c r="B3078" i="1"/>
  <c r="C3077" i="1"/>
  <c r="B3077" i="1"/>
  <c r="C3076" i="1"/>
  <c r="B3076" i="1"/>
  <c r="C3075" i="1"/>
  <c r="B3075" i="1"/>
  <c r="C3074" i="1"/>
  <c r="B3074" i="1"/>
  <c r="C3073" i="1"/>
  <c r="B3073" i="1"/>
  <c r="C3072" i="1"/>
  <c r="B3072" i="1"/>
  <c r="C3071" i="1"/>
  <c r="B3071" i="1"/>
  <c r="C3070" i="1"/>
  <c r="B3070" i="1"/>
  <c r="C3069" i="1"/>
  <c r="B3069" i="1"/>
  <c r="C3068" i="1"/>
  <c r="B3068" i="1"/>
  <c r="C3067" i="1"/>
  <c r="B3067" i="1"/>
  <c r="C3066" i="1"/>
  <c r="B3066" i="1"/>
  <c r="C3065" i="1"/>
  <c r="B3065" i="1"/>
  <c r="C3064" i="1"/>
  <c r="B3064" i="1"/>
  <c r="C3063" i="1"/>
  <c r="B3063" i="1"/>
  <c r="C3062" i="1"/>
  <c r="B3062" i="1"/>
  <c r="C3061" i="1"/>
  <c r="B3061" i="1"/>
  <c r="C3060" i="1"/>
  <c r="B3060" i="1"/>
  <c r="C3059" i="1"/>
  <c r="B3059" i="1"/>
  <c r="C3058" i="1"/>
  <c r="B3058" i="1"/>
  <c r="C3057" i="1"/>
  <c r="B3057" i="1"/>
  <c r="C3056" i="1"/>
  <c r="B3056" i="1"/>
  <c r="C3055" i="1"/>
  <c r="B3055" i="1"/>
  <c r="C3054" i="1"/>
  <c r="B3054" i="1"/>
  <c r="C3053" i="1"/>
  <c r="B3053" i="1"/>
  <c r="C3052" i="1"/>
  <c r="B3052" i="1"/>
  <c r="C3051" i="1"/>
  <c r="B3051" i="1"/>
  <c r="C3050" i="1"/>
  <c r="B3050" i="1"/>
  <c r="C3049" i="1"/>
  <c r="B3049" i="1"/>
  <c r="C3048" i="1"/>
  <c r="B3048" i="1"/>
  <c r="C3047" i="1"/>
  <c r="B3047" i="1"/>
  <c r="C3046" i="1"/>
  <c r="B3046" i="1"/>
  <c r="C3045" i="1"/>
  <c r="B3045" i="1"/>
  <c r="C3044" i="1"/>
  <c r="B3044" i="1"/>
  <c r="C3043" i="1"/>
  <c r="B3043" i="1"/>
  <c r="C3042" i="1"/>
  <c r="B3042" i="1"/>
  <c r="C3041" i="1"/>
  <c r="B3041" i="1"/>
  <c r="C3040" i="1"/>
  <c r="B3040" i="1"/>
  <c r="C3039" i="1"/>
  <c r="B3039" i="1"/>
  <c r="C3038" i="1"/>
  <c r="B3038" i="1"/>
  <c r="C3037" i="1"/>
  <c r="B3037" i="1"/>
  <c r="C3036" i="1"/>
  <c r="B3036" i="1"/>
  <c r="C3035" i="1"/>
  <c r="B3035" i="1"/>
  <c r="C3034" i="1"/>
  <c r="B3034" i="1"/>
  <c r="C3033" i="1"/>
  <c r="B3033" i="1"/>
  <c r="C3032" i="1"/>
  <c r="B3032" i="1"/>
  <c r="C3031" i="1"/>
  <c r="B3031" i="1"/>
  <c r="C3030" i="1"/>
  <c r="B3030" i="1"/>
  <c r="C3029" i="1"/>
  <c r="B3029" i="1"/>
  <c r="C3028" i="1"/>
  <c r="B3028" i="1"/>
  <c r="C3027" i="1"/>
  <c r="B3027" i="1"/>
  <c r="C3026" i="1"/>
  <c r="B3026" i="1"/>
  <c r="C3025" i="1"/>
  <c r="B3025" i="1"/>
  <c r="C3024" i="1"/>
  <c r="B3024" i="1"/>
  <c r="C3023" i="1"/>
  <c r="B3023" i="1"/>
  <c r="C3022" i="1"/>
  <c r="B3022" i="1"/>
  <c r="C3021" i="1"/>
  <c r="B3021" i="1"/>
  <c r="C3020" i="1"/>
  <c r="B3020" i="1"/>
  <c r="C3019" i="1"/>
  <c r="B3019" i="1"/>
  <c r="C3018" i="1"/>
  <c r="B3018" i="1"/>
  <c r="C3017" i="1"/>
  <c r="B3017" i="1"/>
  <c r="C3016" i="1"/>
  <c r="B3016" i="1"/>
  <c r="C3015" i="1"/>
  <c r="B3015" i="1"/>
  <c r="C3014" i="1"/>
  <c r="B3014" i="1"/>
  <c r="C3013" i="1"/>
  <c r="B3013" i="1"/>
  <c r="C3012" i="1"/>
  <c r="B3012" i="1"/>
  <c r="C3011" i="1"/>
  <c r="B3011" i="1"/>
  <c r="C3010" i="1"/>
  <c r="B3010" i="1"/>
  <c r="C3009" i="1"/>
  <c r="B3009" i="1"/>
  <c r="C3008" i="1"/>
  <c r="B3008" i="1"/>
  <c r="C3007" i="1"/>
  <c r="B3007" i="1"/>
  <c r="C3006" i="1"/>
  <c r="B3006" i="1"/>
  <c r="C3005" i="1"/>
  <c r="B3005" i="1"/>
  <c r="C3004" i="1"/>
  <c r="B3004" i="1"/>
  <c r="C3003" i="1"/>
  <c r="B3003" i="1"/>
  <c r="C3002" i="1"/>
  <c r="B3002" i="1"/>
  <c r="C3001" i="1"/>
  <c r="B3001" i="1"/>
  <c r="C3000" i="1"/>
  <c r="B3000" i="1"/>
  <c r="C2999" i="1"/>
  <c r="B2999" i="1"/>
  <c r="C2998" i="1"/>
  <c r="B2998" i="1"/>
  <c r="C2997" i="1"/>
  <c r="B2997" i="1"/>
  <c r="C2996" i="1"/>
  <c r="B2996" i="1"/>
  <c r="C2995" i="1"/>
  <c r="B2995" i="1"/>
  <c r="C2994" i="1"/>
  <c r="B2994" i="1"/>
  <c r="C2993" i="1"/>
  <c r="B2993" i="1"/>
  <c r="C2992" i="1"/>
  <c r="B2992" i="1"/>
  <c r="C2991" i="1"/>
  <c r="B2991" i="1"/>
  <c r="C2990" i="1"/>
  <c r="B2990" i="1"/>
  <c r="C2989" i="1"/>
  <c r="B2989" i="1"/>
  <c r="C2988" i="1"/>
  <c r="B2988" i="1"/>
  <c r="C2987" i="1"/>
  <c r="B2987" i="1"/>
  <c r="C2986" i="1"/>
  <c r="B2986" i="1"/>
  <c r="C2985" i="1"/>
  <c r="B2985" i="1"/>
  <c r="C2984" i="1"/>
  <c r="B2984" i="1"/>
  <c r="C2983" i="1"/>
  <c r="B2983" i="1"/>
  <c r="C2982" i="1"/>
  <c r="B2982" i="1"/>
  <c r="C2981" i="1"/>
  <c r="B2981" i="1"/>
  <c r="C2980" i="1"/>
  <c r="B2980" i="1"/>
  <c r="C2979" i="1"/>
  <c r="B2979" i="1"/>
  <c r="C2978" i="1"/>
  <c r="B2978" i="1"/>
  <c r="C2977" i="1"/>
  <c r="B2977" i="1"/>
  <c r="C2976" i="1"/>
  <c r="B2976" i="1"/>
  <c r="C2975" i="1"/>
  <c r="B2975" i="1"/>
  <c r="C2974" i="1"/>
  <c r="B2974" i="1"/>
  <c r="C2973" i="1"/>
  <c r="B2973" i="1"/>
  <c r="C2972" i="1"/>
  <c r="B2972" i="1"/>
  <c r="C2971" i="1"/>
  <c r="B2971" i="1"/>
  <c r="C2970" i="1"/>
  <c r="B2970" i="1"/>
  <c r="C2969" i="1"/>
  <c r="B2969" i="1"/>
  <c r="C2968" i="1"/>
  <c r="B2968" i="1"/>
  <c r="C2967" i="1"/>
  <c r="B2967" i="1"/>
  <c r="C2966" i="1"/>
  <c r="B2966" i="1"/>
  <c r="C2965" i="1"/>
  <c r="B2965" i="1"/>
  <c r="C2964" i="1"/>
  <c r="B2964" i="1"/>
  <c r="C2963" i="1"/>
  <c r="B2963" i="1"/>
  <c r="C2962" i="1"/>
  <c r="B2962" i="1"/>
  <c r="C2961" i="1"/>
  <c r="B2961" i="1"/>
  <c r="C2960" i="1"/>
  <c r="B2960" i="1"/>
  <c r="C2959" i="1"/>
  <c r="B2959" i="1"/>
  <c r="C2958" i="1"/>
  <c r="B2958" i="1"/>
  <c r="C2957" i="1"/>
  <c r="B2957" i="1"/>
  <c r="C2956" i="1"/>
  <c r="B2956" i="1"/>
  <c r="C2955" i="1"/>
  <c r="B2955" i="1"/>
  <c r="C2954" i="1"/>
  <c r="B2954" i="1"/>
  <c r="C2953" i="1"/>
  <c r="B2953" i="1"/>
  <c r="C2952" i="1"/>
  <c r="B2952" i="1"/>
  <c r="C2951" i="1"/>
  <c r="B2951" i="1"/>
  <c r="C2950" i="1"/>
  <c r="B2950" i="1"/>
  <c r="C2949" i="1"/>
  <c r="B2949" i="1"/>
  <c r="C2948" i="1"/>
  <c r="B2948" i="1"/>
  <c r="C2947" i="1"/>
  <c r="B2947" i="1"/>
  <c r="C2946" i="1"/>
  <c r="B2946" i="1"/>
  <c r="C2945" i="1"/>
  <c r="B2945" i="1"/>
  <c r="C2944" i="1"/>
  <c r="B2944" i="1"/>
  <c r="C2943" i="1"/>
  <c r="B2943" i="1"/>
  <c r="C2942" i="1"/>
  <c r="B2942" i="1"/>
  <c r="C2941" i="1"/>
  <c r="B2941" i="1"/>
  <c r="C2940" i="1"/>
  <c r="B2940" i="1"/>
  <c r="C2939" i="1"/>
  <c r="B2939" i="1"/>
  <c r="C2938" i="1"/>
  <c r="B2938" i="1"/>
  <c r="C2937" i="1"/>
  <c r="B2937" i="1"/>
  <c r="C2936" i="1"/>
  <c r="B2936" i="1"/>
  <c r="C2935" i="1"/>
  <c r="B2935" i="1"/>
  <c r="C2934" i="1"/>
  <c r="B2934" i="1"/>
  <c r="C2933" i="1"/>
  <c r="B2933" i="1"/>
  <c r="C2932" i="1"/>
  <c r="B2932" i="1"/>
  <c r="C2931" i="1"/>
  <c r="B2931" i="1"/>
  <c r="C2930" i="1"/>
  <c r="B2930" i="1"/>
  <c r="C2929" i="1"/>
  <c r="B2929" i="1"/>
  <c r="C2928" i="1"/>
  <c r="B2928" i="1"/>
  <c r="C2927" i="1"/>
  <c r="B2927" i="1"/>
  <c r="C2926" i="1"/>
  <c r="B2926" i="1"/>
  <c r="C2925" i="1"/>
  <c r="B2925" i="1"/>
  <c r="C2924" i="1"/>
  <c r="B2924" i="1"/>
  <c r="C2923" i="1"/>
  <c r="B2923" i="1"/>
  <c r="C2922" i="1"/>
  <c r="B2922" i="1"/>
  <c r="C2921" i="1"/>
  <c r="B2921" i="1"/>
  <c r="C2920" i="1"/>
  <c r="B2920" i="1"/>
  <c r="C2919" i="1"/>
  <c r="B2919" i="1"/>
  <c r="C2918" i="1"/>
  <c r="B2918" i="1"/>
  <c r="C2917" i="1"/>
  <c r="B2917" i="1"/>
  <c r="C2916" i="1"/>
  <c r="B2916" i="1"/>
  <c r="C2915" i="1"/>
  <c r="B2915" i="1"/>
  <c r="C2914" i="1"/>
  <c r="B2914" i="1"/>
  <c r="C2913" i="1"/>
  <c r="B2913" i="1"/>
  <c r="C2912" i="1"/>
  <c r="B2912" i="1"/>
  <c r="C2911" i="1"/>
  <c r="B2911" i="1"/>
  <c r="C2910" i="1"/>
  <c r="B2910" i="1"/>
  <c r="C2909" i="1"/>
  <c r="B2909" i="1"/>
  <c r="C2908" i="1"/>
  <c r="B2908" i="1"/>
  <c r="C2907" i="1"/>
  <c r="B2907" i="1"/>
  <c r="C2906" i="1"/>
  <c r="B2906" i="1"/>
  <c r="C2905" i="1"/>
  <c r="B2905" i="1"/>
  <c r="C2904" i="1"/>
  <c r="B2904" i="1"/>
  <c r="C2903" i="1"/>
  <c r="B2903" i="1"/>
  <c r="C2902" i="1"/>
  <c r="B2902" i="1"/>
  <c r="C2901" i="1"/>
  <c r="B2901" i="1"/>
  <c r="C2900" i="1"/>
  <c r="B2900" i="1"/>
  <c r="C2899" i="1"/>
  <c r="B2899" i="1"/>
  <c r="C2898" i="1"/>
  <c r="B2898" i="1"/>
  <c r="C2897" i="1"/>
  <c r="B2897" i="1"/>
  <c r="C2896" i="1"/>
  <c r="B2896" i="1"/>
  <c r="C2895" i="1"/>
  <c r="B2895" i="1"/>
  <c r="C2894" i="1"/>
  <c r="B2894" i="1"/>
  <c r="C2893" i="1"/>
  <c r="B2893" i="1"/>
  <c r="C2892" i="1"/>
  <c r="B2892" i="1"/>
  <c r="C2891" i="1"/>
  <c r="B2891" i="1"/>
  <c r="C2890" i="1"/>
  <c r="B2890" i="1"/>
  <c r="C2889" i="1"/>
  <c r="B2889" i="1"/>
  <c r="C2888" i="1"/>
  <c r="B2888" i="1"/>
  <c r="C2887" i="1"/>
  <c r="B2887" i="1"/>
  <c r="C2886" i="1"/>
  <c r="B2886" i="1"/>
  <c r="C2885" i="1"/>
  <c r="B2885" i="1"/>
  <c r="C2884" i="1"/>
  <c r="B2884" i="1"/>
  <c r="C2883" i="1"/>
  <c r="B2883" i="1"/>
  <c r="C2882" i="1"/>
  <c r="B2882" i="1"/>
  <c r="C2881" i="1"/>
  <c r="B2881" i="1"/>
  <c r="C2880" i="1"/>
  <c r="B2880" i="1"/>
  <c r="C2879" i="1"/>
  <c r="B2879" i="1"/>
  <c r="C2878" i="1"/>
  <c r="B2878" i="1"/>
  <c r="C2877" i="1"/>
  <c r="B2877" i="1"/>
  <c r="C2876" i="1"/>
  <c r="B2876" i="1"/>
  <c r="C2875" i="1"/>
  <c r="B2875" i="1"/>
  <c r="C2874" i="1"/>
  <c r="B2874" i="1"/>
  <c r="C2873" i="1"/>
  <c r="B2873" i="1"/>
  <c r="C2872" i="1"/>
  <c r="B2872" i="1"/>
  <c r="C2871" i="1"/>
  <c r="B2871" i="1"/>
  <c r="C2870" i="1"/>
  <c r="B2870" i="1"/>
  <c r="C2869" i="1"/>
  <c r="B2869" i="1"/>
  <c r="C2868" i="1"/>
  <c r="B2868" i="1"/>
  <c r="C2867" i="1"/>
  <c r="B2867" i="1"/>
  <c r="C2866" i="1"/>
  <c r="B2866" i="1"/>
  <c r="C2865" i="1"/>
  <c r="B2865" i="1"/>
  <c r="C2864" i="1"/>
  <c r="B2864" i="1"/>
  <c r="C2863" i="1"/>
  <c r="B2863" i="1"/>
  <c r="C2862" i="1"/>
  <c r="B2862" i="1"/>
  <c r="C2861" i="1"/>
  <c r="B2861" i="1"/>
  <c r="C2860" i="1"/>
  <c r="B2860" i="1"/>
  <c r="C2859" i="1"/>
  <c r="B2859" i="1"/>
  <c r="C2858" i="1"/>
  <c r="B2858" i="1"/>
  <c r="C2857" i="1"/>
  <c r="B2857" i="1"/>
  <c r="C2856" i="1"/>
  <c r="B2856" i="1"/>
  <c r="C2855" i="1"/>
  <c r="B2855" i="1"/>
  <c r="C2854" i="1"/>
  <c r="B2854" i="1"/>
  <c r="C2853" i="1"/>
  <c r="B2853" i="1"/>
  <c r="C2852" i="1"/>
  <c r="B2852" i="1"/>
  <c r="C2851" i="1"/>
  <c r="B2851" i="1"/>
  <c r="C2850" i="1"/>
  <c r="B2850" i="1"/>
  <c r="C2849" i="1"/>
  <c r="B2849" i="1"/>
  <c r="C2848" i="1"/>
  <c r="B2848" i="1"/>
  <c r="C2847" i="1"/>
  <c r="B2847" i="1"/>
  <c r="C2846" i="1"/>
  <c r="B2846" i="1"/>
  <c r="C2845" i="1"/>
  <c r="B2845" i="1"/>
  <c r="C2844" i="1"/>
  <c r="B2844" i="1"/>
  <c r="C2843" i="1"/>
  <c r="B2843" i="1"/>
  <c r="C2842" i="1"/>
  <c r="B2842" i="1"/>
  <c r="C2841" i="1"/>
  <c r="B2841" i="1"/>
  <c r="C2840" i="1"/>
  <c r="B2840" i="1"/>
  <c r="C2839" i="1"/>
  <c r="B2839" i="1"/>
  <c r="C2838" i="1"/>
  <c r="B2838" i="1"/>
  <c r="C2837" i="1"/>
  <c r="B2837" i="1"/>
  <c r="C2836" i="1"/>
  <c r="B2836" i="1"/>
  <c r="C2835" i="1"/>
  <c r="B2835" i="1"/>
  <c r="C2834" i="1"/>
  <c r="B2834" i="1"/>
  <c r="C2833" i="1"/>
  <c r="B2833" i="1"/>
  <c r="C2832" i="1"/>
  <c r="B2832" i="1"/>
  <c r="C2831" i="1"/>
  <c r="B2831" i="1"/>
  <c r="C2830" i="1"/>
  <c r="B2830" i="1"/>
  <c r="C2829" i="1"/>
  <c r="B2829" i="1"/>
  <c r="C2828" i="1"/>
  <c r="B2828" i="1"/>
  <c r="C2827" i="1"/>
  <c r="B2827" i="1"/>
  <c r="C2826" i="1"/>
  <c r="B2826" i="1"/>
  <c r="C2825" i="1"/>
  <c r="B2825" i="1"/>
  <c r="C2824" i="1"/>
  <c r="B2824" i="1"/>
  <c r="C2823" i="1"/>
  <c r="B2823" i="1"/>
  <c r="C2822" i="1"/>
  <c r="B2822" i="1"/>
  <c r="C2821" i="1"/>
  <c r="B2821" i="1"/>
  <c r="C2820" i="1"/>
  <c r="B2820" i="1"/>
  <c r="C2819" i="1"/>
  <c r="B2819" i="1"/>
  <c r="C2818" i="1"/>
  <c r="B2818" i="1"/>
  <c r="C2817" i="1"/>
  <c r="B2817" i="1"/>
  <c r="C2816" i="1"/>
  <c r="B2816" i="1"/>
  <c r="C2815" i="1"/>
  <c r="B2815" i="1"/>
  <c r="C2814" i="1"/>
  <c r="B2814" i="1"/>
  <c r="C2813" i="1"/>
  <c r="B2813" i="1"/>
  <c r="C2812" i="1"/>
  <c r="B2812" i="1"/>
  <c r="C2811" i="1"/>
  <c r="B2811" i="1"/>
  <c r="C2810" i="1"/>
  <c r="B2810" i="1"/>
  <c r="C2809" i="1"/>
  <c r="B2809" i="1"/>
  <c r="C2808" i="1"/>
  <c r="B2808" i="1"/>
  <c r="C2807" i="1"/>
  <c r="B2807" i="1"/>
  <c r="C2806" i="1"/>
  <c r="B2806" i="1"/>
  <c r="C2805" i="1"/>
  <c r="B2805" i="1"/>
  <c r="C2804" i="1"/>
  <c r="B2804" i="1"/>
  <c r="C2803" i="1"/>
  <c r="B2803" i="1"/>
  <c r="C2802" i="1"/>
  <c r="B2802" i="1"/>
  <c r="C2801" i="1"/>
  <c r="B2801" i="1"/>
  <c r="C2800" i="1"/>
  <c r="B2800" i="1"/>
  <c r="C2799" i="1"/>
  <c r="B2799" i="1"/>
  <c r="C2798" i="1"/>
  <c r="B2798" i="1"/>
  <c r="C2797" i="1"/>
  <c r="B2797" i="1"/>
  <c r="C2796" i="1"/>
  <c r="B2796" i="1"/>
  <c r="C2795" i="1"/>
  <c r="B2795" i="1"/>
  <c r="C2794" i="1"/>
  <c r="B2794" i="1"/>
  <c r="C2793" i="1"/>
  <c r="B2793" i="1"/>
  <c r="C2792" i="1"/>
  <c r="B2792" i="1"/>
  <c r="C2791" i="1"/>
  <c r="B2791" i="1"/>
  <c r="C2790" i="1"/>
  <c r="B2790" i="1"/>
  <c r="C2789" i="1"/>
  <c r="B2789" i="1"/>
  <c r="C2788" i="1"/>
  <c r="B2788" i="1"/>
  <c r="C2787" i="1"/>
  <c r="B2787" i="1"/>
  <c r="C2786" i="1"/>
  <c r="B2786" i="1"/>
  <c r="C2785" i="1"/>
  <c r="B2785" i="1"/>
  <c r="C2784" i="1"/>
  <c r="B2784" i="1"/>
  <c r="C2783" i="1"/>
  <c r="B2783" i="1"/>
  <c r="C2782" i="1"/>
  <c r="B2782" i="1"/>
  <c r="C2781" i="1"/>
  <c r="B2781" i="1"/>
  <c r="C2780" i="1"/>
  <c r="B2780" i="1"/>
  <c r="C2779" i="1"/>
  <c r="B2779" i="1"/>
  <c r="C2778" i="1"/>
  <c r="B2778" i="1"/>
  <c r="C2777" i="1"/>
  <c r="B2777" i="1"/>
  <c r="C2776" i="1"/>
  <c r="B2776" i="1"/>
  <c r="C2775" i="1"/>
  <c r="B2775" i="1"/>
  <c r="C2774" i="1"/>
  <c r="B2774" i="1"/>
  <c r="C2773" i="1"/>
  <c r="B2773" i="1"/>
  <c r="C2772" i="1"/>
  <c r="B2772" i="1"/>
  <c r="C2771" i="1"/>
  <c r="B2771" i="1"/>
  <c r="C2770" i="1"/>
  <c r="B2770" i="1"/>
  <c r="C2769" i="1"/>
  <c r="B2769" i="1"/>
  <c r="C2768" i="1"/>
  <c r="B2768" i="1"/>
  <c r="C2767" i="1"/>
  <c r="B2767" i="1"/>
  <c r="C2766" i="1"/>
  <c r="B2766" i="1"/>
  <c r="C2765" i="1"/>
  <c r="B2765" i="1"/>
  <c r="C2764" i="1"/>
  <c r="B2764" i="1"/>
  <c r="C2763" i="1"/>
  <c r="B2763" i="1"/>
  <c r="C2762" i="1"/>
  <c r="B2762" i="1"/>
  <c r="C2761" i="1"/>
  <c r="B2761" i="1"/>
  <c r="C2760" i="1"/>
  <c r="B2760" i="1"/>
  <c r="C2759" i="1"/>
  <c r="B2759" i="1"/>
  <c r="C2758" i="1"/>
  <c r="B2758" i="1"/>
  <c r="C2757" i="1"/>
  <c r="B2757" i="1"/>
  <c r="C2756" i="1"/>
  <c r="B2756" i="1"/>
  <c r="C2755" i="1"/>
  <c r="B2755" i="1"/>
  <c r="C2754" i="1"/>
  <c r="B2754" i="1"/>
  <c r="C2753" i="1"/>
  <c r="B2753" i="1"/>
  <c r="C2752" i="1"/>
  <c r="B2752" i="1"/>
  <c r="C2751" i="1"/>
  <c r="B2751" i="1"/>
  <c r="C2750" i="1"/>
  <c r="B2750" i="1"/>
  <c r="C2749" i="1"/>
  <c r="B2749" i="1"/>
  <c r="C2748" i="1"/>
  <c r="B2748" i="1"/>
  <c r="C2747" i="1"/>
  <c r="B2747" i="1"/>
  <c r="C2746" i="1"/>
  <c r="B2746" i="1"/>
  <c r="C2745" i="1"/>
  <c r="B2745" i="1"/>
  <c r="C2744" i="1"/>
  <c r="B2744" i="1"/>
  <c r="C2743" i="1"/>
  <c r="B2743" i="1"/>
  <c r="C2742" i="1"/>
  <c r="B2742" i="1"/>
  <c r="C2741" i="1"/>
  <c r="B2741" i="1"/>
  <c r="C2740" i="1"/>
  <c r="B2740" i="1"/>
  <c r="C2739" i="1"/>
  <c r="B2739" i="1"/>
  <c r="C2738" i="1"/>
  <c r="B2738" i="1"/>
  <c r="C2737" i="1"/>
  <c r="B2737" i="1"/>
  <c r="C2736" i="1"/>
  <c r="B2736" i="1"/>
  <c r="C2735" i="1"/>
  <c r="B2735" i="1"/>
  <c r="C2734" i="1"/>
  <c r="B2734" i="1"/>
  <c r="C2733" i="1"/>
  <c r="B2733" i="1"/>
  <c r="C2732" i="1"/>
  <c r="B2732" i="1"/>
  <c r="C2731" i="1"/>
  <c r="B2731" i="1"/>
  <c r="C2730" i="1"/>
  <c r="B2730" i="1"/>
  <c r="C2729" i="1"/>
  <c r="B2729" i="1"/>
  <c r="C2728" i="1"/>
  <c r="B2728" i="1"/>
  <c r="C2727" i="1"/>
  <c r="B2727" i="1"/>
  <c r="C2726" i="1"/>
  <c r="B2726" i="1"/>
  <c r="C2725" i="1"/>
  <c r="B2725" i="1"/>
  <c r="C2724" i="1"/>
  <c r="B2724" i="1"/>
  <c r="C2723" i="1"/>
  <c r="B2723" i="1"/>
  <c r="C2722" i="1"/>
  <c r="B2722" i="1"/>
  <c r="C2721" i="1"/>
  <c r="B2721" i="1"/>
  <c r="C2720" i="1"/>
  <c r="B2720" i="1"/>
  <c r="C2719" i="1"/>
  <c r="B2719" i="1"/>
  <c r="C2718" i="1"/>
  <c r="B2718" i="1"/>
  <c r="C2717" i="1"/>
  <c r="B2717" i="1"/>
  <c r="C2716" i="1"/>
  <c r="B2716" i="1"/>
  <c r="C2715" i="1"/>
  <c r="B2715" i="1"/>
  <c r="C2714" i="1"/>
  <c r="B2714" i="1"/>
  <c r="C2713" i="1"/>
  <c r="B2713" i="1"/>
  <c r="C2712" i="1"/>
  <c r="B2712" i="1"/>
  <c r="C2711" i="1"/>
  <c r="B2711" i="1"/>
  <c r="C2710" i="1"/>
  <c r="B2710" i="1"/>
  <c r="C2709" i="1"/>
  <c r="B2709" i="1"/>
  <c r="C2708" i="1"/>
  <c r="B2708" i="1"/>
  <c r="C2707" i="1"/>
  <c r="B2707" i="1"/>
  <c r="C2706" i="1"/>
  <c r="B2706" i="1"/>
  <c r="C2705" i="1"/>
  <c r="B2705" i="1"/>
  <c r="C2704" i="1"/>
  <c r="B2704" i="1"/>
  <c r="C2703" i="1"/>
  <c r="B2703" i="1"/>
  <c r="C2702" i="1"/>
  <c r="B2702" i="1"/>
  <c r="C2701" i="1"/>
  <c r="B2701" i="1"/>
  <c r="C2700" i="1"/>
  <c r="B2700" i="1"/>
  <c r="C2699" i="1"/>
  <c r="B2699" i="1"/>
  <c r="C2698" i="1"/>
  <c r="B2698" i="1"/>
  <c r="C2697" i="1"/>
  <c r="B2697" i="1"/>
  <c r="C2696" i="1"/>
  <c r="B2696" i="1"/>
  <c r="C2695" i="1"/>
  <c r="B2695" i="1"/>
  <c r="C2694" i="1"/>
  <c r="B2694" i="1"/>
  <c r="C2693" i="1"/>
  <c r="B2693" i="1"/>
  <c r="C2692" i="1"/>
  <c r="B2692" i="1"/>
  <c r="C2691" i="1"/>
  <c r="B2691" i="1"/>
  <c r="C2690" i="1"/>
  <c r="B2690" i="1"/>
  <c r="C2689" i="1"/>
  <c r="B2689" i="1"/>
  <c r="C2688" i="1"/>
  <c r="B2688" i="1"/>
  <c r="C2687" i="1"/>
  <c r="B2687" i="1"/>
  <c r="C2686" i="1"/>
  <c r="B2686" i="1"/>
  <c r="C2685" i="1"/>
  <c r="B2685" i="1"/>
  <c r="C2684" i="1"/>
  <c r="B2684" i="1"/>
  <c r="C2683" i="1"/>
  <c r="B2683" i="1"/>
  <c r="C2682" i="1"/>
  <c r="B2682" i="1"/>
  <c r="C2681" i="1"/>
  <c r="B2681" i="1"/>
  <c r="C2680" i="1"/>
  <c r="B2680" i="1"/>
  <c r="C2679" i="1"/>
  <c r="B2679" i="1"/>
  <c r="C2678" i="1"/>
  <c r="B2678" i="1"/>
  <c r="C2677" i="1"/>
  <c r="B2677" i="1"/>
  <c r="C2676" i="1"/>
  <c r="B2676" i="1"/>
  <c r="C2675" i="1"/>
  <c r="B2675" i="1"/>
  <c r="C2674" i="1"/>
  <c r="B2674" i="1"/>
  <c r="C2673" i="1"/>
  <c r="B2673" i="1"/>
  <c r="C2672" i="1"/>
  <c r="B2672" i="1"/>
  <c r="C2671" i="1"/>
  <c r="B2671" i="1"/>
  <c r="C2670" i="1"/>
  <c r="B2670" i="1"/>
  <c r="C2669" i="1"/>
  <c r="B2669" i="1"/>
  <c r="C2668" i="1"/>
  <c r="B2668" i="1"/>
  <c r="C2667" i="1"/>
  <c r="B2667" i="1"/>
  <c r="C2666" i="1"/>
  <c r="B2666" i="1"/>
  <c r="C2665" i="1"/>
  <c r="B2665" i="1"/>
  <c r="C2664" i="1"/>
  <c r="B2664" i="1"/>
  <c r="C2663" i="1"/>
  <c r="B2663" i="1"/>
  <c r="C2662" i="1"/>
  <c r="B2662" i="1"/>
  <c r="C2661" i="1"/>
  <c r="B2661" i="1"/>
  <c r="C2660" i="1"/>
  <c r="B2660" i="1"/>
  <c r="C2659" i="1"/>
  <c r="B2659" i="1"/>
  <c r="C2658" i="1"/>
  <c r="B2658" i="1"/>
  <c r="C2657" i="1"/>
  <c r="B2657" i="1"/>
  <c r="C2656" i="1"/>
  <c r="B2656" i="1"/>
  <c r="C2655" i="1"/>
  <c r="B2655" i="1"/>
  <c r="C2654" i="1"/>
  <c r="B2654" i="1"/>
  <c r="C2653" i="1"/>
  <c r="B2653" i="1"/>
  <c r="C2652" i="1"/>
  <c r="B2652" i="1"/>
  <c r="C2651" i="1"/>
  <c r="B2651" i="1"/>
  <c r="C2650" i="1"/>
  <c r="B2650" i="1"/>
  <c r="C2649" i="1"/>
  <c r="B2649" i="1"/>
  <c r="C2648" i="1"/>
  <c r="B2648" i="1"/>
  <c r="C2647" i="1"/>
  <c r="B2647" i="1"/>
  <c r="C2646" i="1"/>
  <c r="B2646" i="1"/>
  <c r="C2645" i="1"/>
  <c r="B2645" i="1"/>
  <c r="C2644" i="1"/>
  <c r="B2644" i="1"/>
  <c r="C2643" i="1"/>
  <c r="B2643" i="1"/>
  <c r="C2642" i="1"/>
  <c r="B2642" i="1"/>
  <c r="C2641" i="1"/>
  <c r="B2641" i="1"/>
  <c r="C2640" i="1"/>
  <c r="B2640" i="1"/>
  <c r="C2639" i="1"/>
  <c r="B2639" i="1"/>
  <c r="C2638" i="1"/>
  <c r="B2638" i="1"/>
  <c r="C2637" i="1"/>
  <c r="B2637" i="1"/>
  <c r="C2636" i="1"/>
  <c r="B2636" i="1"/>
  <c r="C2635" i="1"/>
  <c r="B2635" i="1"/>
  <c r="C2634" i="1"/>
  <c r="B2634" i="1"/>
  <c r="C2633" i="1"/>
  <c r="B2633" i="1"/>
  <c r="C2632" i="1"/>
  <c r="B2632" i="1"/>
  <c r="C2631" i="1"/>
  <c r="B2631" i="1"/>
  <c r="C2630" i="1"/>
  <c r="B2630" i="1"/>
  <c r="C2629" i="1"/>
  <c r="B2629" i="1"/>
  <c r="C2628" i="1"/>
  <c r="B2628" i="1"/>
  <c r="C2627" i="1"/>
  <c r="B2627" i="1"/>
  <c r="C2626" i="1"/>
  <c r="B2626" i="1"/>
  <c r="C2625" i="1"/>
  <c r="B2625" i="1"/>
  <c r="C2624" i="1"/>
  <c r="B2624" i="1"/>
  <c r="C2623" i="1"/>
  <c r="B2623" i="1"/>
  <c r="C2622" i="1"/>
  <c r="B2622" i="1"/>
  <c r="C2621" i="1"/>
  <c r="B2621" i="1"/>
  <c r="C2620" i="1"/>
  <c r="B2620" i="1"/>
  <c r="C2619" i="1"/>
  <c r="B2619" i="1"/>
  <c r="C2618" i="1"/>
  <c r="B2618" i="1"/>
  <c r="C2617" i="1"/>
  <c r="B2617" i="1"/>
  <c r="C2616" i="1"/>
  <c r="B2616" i="1"/>
  <c r="C2615" i="1"/>
  <c r="B2615" i="1"/>
  <c r="C2614" i="1"/>
  <c r="B2614" i="1"/>
  <c r="C2613" i="1"/>
  <c r="B2613" i="1"/>
  <c r="C2612" i="1"/>
  <c r="B2612" i="1"/>
  <c r="C2611" i="1"/>
  <c r="B2611" i="1"/>
  <c r="C2610" i="1"/>
  <c r="B2610" i="1"/>
  <c r="C2609" i="1"/>
  <c r="B2609" i="1"/>
  <c r="C2608" i="1"/>
  <c r="B2608" i="1"/>
  <c r="C2607" i="1"/>
  <c r="B2607" i="1"/>
  <c r="C2606" i="1"/>
  <c r="B2606" i="1"/>
  <c r="C2605" i="1"/>
  <c r="B2605" i="1"/>
  <c r="C2604" i="1"/>
  <c r="B2604" i="1"/>
  <c r="C2603" i="1"/>
  <c r="B2603" i="1"/>
  <c r="C2602" i="1"/>
  <c r="B2602" i="1"/>
  <c r="C2601" i="1"/>
  <c r="B2601" i="1"/>
  <c r="C2600" i="1"/>
  <c r="B2600" i="1"/>
  <c r="C2599" i="1"/>
  <c r="B2599" i="1"/>
  <c r="C2598" i="1"/>
  <c r="B2598" i="1"/>
  <c r="C2597" i="1"/>
  <c r="B2597" i="1"/>
  <c r="C2596" i="1"/>
  <c r="B2596" i="1"/>
  <c r="C2595" i="1"/>
  <c r="B2595" i="1"/>
  <c r="C2594" i="1"/>
  <c r="B2594" i="1"/>
  <c r="C2593" i="1"/>
  <c r="B2593" i="1"/>
  <c r="C2592" i="1"/>
  <c r="B2592" i="1"/>
  <c r="C2591" i="1"/>
  <c r="B2591" i="1"/>
  <c r="C2590" i="1"/>
  <c r="B2590" i="1"/>
  <c r="C2589" i="1"/>
  <c r="B2589" i="1"/>
  <c r="C2588" i="1"/>
  <c r="B2588" i="1"/>
  <c r="C2587" i="1"/>
  <c r="B2587" i="1"/>
  <c r="C2586" i="1"/>
  <c r="B2586" i="1"/>
  <c r="C2585" i="1"/>
  <c r="B2585" i="1"/>
  <c r="C2584" i="1"/>
  <c r="B2584" i="1"/>
  <c r="C2583" i="1"/>
  <c r="B2583" i="1"/>
  <c r="C2582" i="1"/>
  <c r="B2582" i="1"/>
  <c r="C2581" i="1"/>
  <c r="B2581" i="1"/>
  <c r="C2580" i="1"/>
  <c r="B2580" i="1"/>
  <c r="C2579" i="1"/>
  <c r="B2579" i="1"/>
  <c r="C2578" i="1"/>
  <c r="B2578" i="1"/>
  <c r="C2577" i="1"/>
  <c r="B2577" i="1"/>
  <c r="C2576" i="1"/>
  <c r="B2576" i="1"/>
  <c r="C2575" i="1"/>
  <c r="B2575" i="1"/>
  <c r="C2574" i="1"/>
  <c r="B2574" i="1"/>
  <c r="C2573" i="1"/>
  <c r="B2573" i="1"/>
  <c r="C2572" i="1"/>
  <c r="B2572" i="1"/>
  <c r="C2571" i="1"/>
  <c r="B2571" i="1"/>
  <c r="C2570" i="1"/>
  <c r="B2570" i="1"/>
  <c r="C2569" i="1"/>
  <c r="B2569" i="1"/>
  <c r="C2568" i="1"/>
  <c r="B2568" i="1"/>
  <c r="C2567" i="1"/>
  <c r="B2567" i="1"/>
  <c r="C2566" i="1"/>
  <c r="B2566" i="1"/>
  <c r="C2565" i="1"/>
  <c r="B2565" i="1"/>
  <c r="C2564" i="1"/>
  <c r="B2564" i="1"/>
  <c r="C2563" i="1"/>
  <c r="B2563" i="1"/>
  <c r="C2562" i="1"/>
  <c r="B2562" i="1"/>
  <c r="C2561" i="1"/>
  <c r="B2561" i="1"/>
  <c r="C2560" i="1"/>
  <c r="B2560" i="1"/>
  <c r="C2559" i="1"/>
  <c r="B2559" i="1"/>
  <c r="C2558" i="1"/>
  <c r="B2558" i="1"/>
  <c r="C2557" i="1"/>
  <c r="B2557" i="1"/>
  <c r="C2556" i="1"/>
  <c r="B2556" i="1"/>
  <c r="C2555" i="1"/>
  <c r="B2555" i="1"/>
  <c r="C2554" i="1"/>
  <c r="B2554" i="1"/>
  <c r="C2553" i="1"/>
  <c r="B2553" i="1"/>
  <c r="C2552" i="1"/>
  <c r="B2552" i="1"/>
  <c r="C2551" i="1"/>
  <c r="B2551" i="1"/>
  <c r="C2550" i="1"/>
  <c r="B2550" i="1"/>
  <c r="C2549" i="1"/>
  <c r="B2549" i="1"/>
  <c r="C2548" i="1"/>
  <c r="B2548" i="1"/>
  <c r="C2547" i="1"/>
  <c r="B2547" i="1"/>
  <c r="C2546" i="1"/>
  <c r="B2546" i="1"/>
  <c r="C2545" i="1"/>
  <c r="B2545" i="1"/>
  <c r="C2544" i="1"/>
  <c r="B2544" i="1"/>
  <c r="C2543" i="1"/>
  <c r="B2543" i="1"/>
  <c r="C2542" i="1"/>
  <c r="B2542" i="1"/>
  <c r="C2541" i="1"/>
  <c r="B2541" i="1"/>
  <c r="C2540" i="1"/>
  <c r="B2540" i="1"/>
  <c r="C2539" i="1"/>
  <c r="B2539" i="1"/>
  <c r="C2538" i="1"/>
  <c r="B2538" i="1"/>
  <c r="C2537" i="1"/>
  <c r="B2537" i="1"/>
  <c r="C2536" i="1"/>
  <c r="B2536" i="1"/>
  <c r="C2535" i="1"/>
  <c r="B2535" i="1"/>
  <c r="C2534" i="1"/>
  <c r="B2534" i="1"/>
  <c r="C2533" i="1"/>
  <c r="B2533" i="1"/>
  <c r="C2532" i="1"/>
  <c r="B2532" i="1"/>
  <c r="C2531" i="1"/>
  <c r="B2531" i="1"/>
  <c r="C2530" i="1"/>
  <c r="B2530" i="1"/>
  <c r="C2529" i="1"/>
  <c r="B2529" i="1"/>
  <c r="C2528" i="1"/>
  <c r="B2528" i="1"/>
  <c r="C2527" i="1"/>
  <c r="B2527" i="1"/>
  <c r="C2526" i="1"/>
  <c r="B2526" i="1"/>
  <c r="C2525" i="1"/>
  <c r="B2525" i="1"/>
  <c r="C2524" i="1"/>
  <c r="B2524" i="1"/>
  <c r="C2523" i="1"/>
  <c r="B2523" i="1"/>
  <c r="C2522" i="1"/>
  <c r="B2522" i="1"/>
  <c r="C2521" i="1"/>
  <c r="B2521" i="1"/>
  <c r="C2520" i="1"/>
  <c r="B2520" i="1"/>
  <c r="C2519" i="1"/>
  <c r="B2519" i="1"/>
  <c r="C2518" i="1"/>
  <c r="B2518" i="1"/>
  <c r="C2517" i="1"/>
  <c r="B2517" i="1"/>
  <c r="C2516" i="1"/>
  <c r="B2516" i="1"/>
  <c r="C2515" i="1"/>
  <c r="B2515" i="1"/>
  <c r="C2514" i="1"/>
  <c r="B2514" i="1"/>
  <c r="C2513" i="1"/>
  <c r="B2513" i="1"/>
  <c r="C2512" i="1"/>
  <c r="B2512" i="1"/>
  <c r="C2511" i="1"/>
  <c r="B2511" i="1"/>
  <c r="C2510" i="1"/>
  <c r="B2510" i="1"/>
  <c r="C2509" i="1"/>
  <c r="B2509" i="1"/>
  <c r="C2508" i="1"/>
  <c r="B2508" i="1"/>
  <c r="C2507" i="1"/>
  <c r="B2507" i="1"/>
  <c r="C2506" i="1"/>
  <c r="B2506" i="1"/>
  <c r="C2505" i="1"/>
  <c r="B2505" i="1"/>
  <c r="C2504" i="1"/>
  <c r="B2504" i="1"/>
  <c r="C2503" i="1"/>
  <c r="B2503" i="1"/>
  <c r="C2502" i="1"/>
  <c r="B2502" i="1"/>
  <c r="C2501" i="1"/>
  <c r="B2501" i="1"/>
  <c r="C2500" i="1"/>
  <c r="B2500" i="1"/>
  <c r="C2499" i="1"/>
  <c r="B2499" i="1"/>
  <c r="C2498" i="1"/>
  <c r="B2498" i="1"/>
  <c r="C2497" i="1"/>
  <c r="B2497" i="1"/>
  <c r="C2496" i="1"/>
  <c r="B2496" i="1"/>
  <c r="C2495" i="1"/>
  <c r="B2495" i="1"/>
  <c r="C2494" i="1"/>
  <c r="B2494" i="1"/>
  <c r="C2493" i="1"/>
  <c r="B2493" i="1"/>
  <c r="C2492" i="1"/>
  <c r="B2492" i="1"/>
  <c r="C2491" i="1"/>
  <c r="B2491" i="1"/>
  <c r="C2490" i="1"/>
  <c r="B2490" i="1"/>
  <c r="C2489" i="1"/>
  <c r="B2489" i="1"/>
  <c r="C2488" i="1"/>
  <c r="B2488" i="1"/>
  <c r="C2487" i="1"/>
  <c r="B2487" i="1"/>
  <c r="C2486" i="1"/>
  <c r="B2486" i="1"/>
  <c r="C2485" i="1"/>
  <c r="B2485" i="1"/>
  <c r="C2484" i="1"/>
  <c r="B2484" i="1"/>
  <c r="C2483" i="1"/>
  <c r="B2483" i="1"/>
  <c r="C2482" i="1"/>
  <c r="B2482" i="1"/>
  <c r="C2481" i="1"/>
  <c r="B2481" i="1"/>
  <c r="C2480" i="1"/>
  <c r="B2480" i="1"/>
  <c r="C2479" i="1"/>
  <c r="B2479" i="1"/>
  <c r="C2478" i="1"/>
  <c r="B2478" i="1"/>
  <c r="C2477" i="1"/>
  <c r="B2477" i="1"/>
  <c r="C2476" i="1"/>
  <c r="B2476" i="1"/>
  <c r="C2475" i="1"/>
  <c r="B2475" i="1"/>
  <c r="C2474" i="1"/>
  <c r="B2474" i="1"/>
  <c r="C2473" i="1"/>
  <c r="B2473" i="1"/>
  <c r="C2472" i="1"/>
  <c r="B2472" i="1"/>
  <c r="C2471" i="1"/>
  <c r="B2471" i="1"/>
  <c r="C2470" i="1"/>
  <c r="B2470" i="1"/>
  <c r="C2469" i="1"/>
  <c r="B2469" i="1"/>
  <c r="C2468" i="1"/>
  <c r="B2468" i="1"/>
  <c r="C2467" i="1"/>
  <c r="B2467" i="1"/>
  <c r="C2466" i="1"/>
  <c r="B2466" i="1"/>
  <c r="C2465" i="1"/>
  <c r="B2465" i="1"/>
  <c r="C2464" i="1"/>
  <c r="B2464" i="1"/>
  <c r="C2463" i="1"/>
  <c r="B2463" i="1"/>
  <c r="C2462" i="1"/>
  <c r="B2462" i="1"/>
  <c r="C2461" i="1"/>
  <c r="B2461" i="1"/>
  <c r="C2460" i="1"/>
  <c r="B2460" i="1"/>
  <c r="C2459" i="1"/>
  <c r="B2459" i="1"/>
  <c r="C2458" i="1"/>
  <c r="B2458" i="1"/>
  <c r="C2457" i="1"/>
  <c r="B2457" i="1"/>
  <c r="C2456" i="1"/>
  <c r="B2456" i="1"/>
  <c r="C2455" i="1"/>
  <c r="B2455" i="1"/>
  <c r="C2454" i="1"/>
  <c r="B2454" i="1"/>
  <c r="C2453" i="1"/>
  <c r="B2453" i="1"/>
  <c r="C2452" i="1"/>
  <c r="B2452" i="1"/>
  <c r="C2451" i="1"/>
  <c r="B2451" i="1"/>
  <c r="C2450" i="1"/>
  <c r="B2450" i="1"/>
  <c r="C2449" i="1"/>
  <c r="B2449" i="1"/>
  <c r="C2448" i="1"/>
  <c r="B2448" i="1"/>
  <c r="C2447" i="1"/>
  <c r="B2447" i="1"/>
  <c r="C2446" i="1"/>
  <c r="B2446" i="1"/>
  <c r="C2445" i="1"/>
  <c r="B2445" i="1"/>
  <c r="C2444" i="1"/>
  <c r="B2444" i="1"/>
  <c r="C2443" i="1"/>
  <c r="B2443" i="1"/>
  <c r="C2442" i="1"/>
  <c r="B2442" i="1"/>
  <c r="C2441" i="1"/>
  <c r="B2441" i="1"/>
  <c r="C2440" i="1"/>
  <c r="B2440" i="1"/>
  <c r="C2439" i="1"/>
  <c r="B2439" i="1"/>
  <c r="C2438" i="1"/>
  <c r="B2438" i="1"/>
  <c r="C2437" i="1"/>
  <c r="B2437" i="1"/>
  <c r="C2436" i="1"/>
  <c r="B2436" i="1"/>
  <c r="C2435" i="1"/>
  <c r="B2435" i="1"/>
  <c r="C2434" i="1"/>
  <c r="B2434" i="1"/>
  <c r="C2433" i="1"/>
  <c r="B2433" i="1"/>
  <c r="C2432" i="1"/>
  <c r="B2432" i="1"/>
  <c r="C2431" i="1"/>
  <c r="B2431" i="1"/>
  <c r="C2430" i="1"/>
  <c r="B2430" i="1"/>
  <c r="C2429" i="1"/>
  <c r="B2429" i="1"/>
  <c r="C2428" i="1"/>
  <c r="B2428" i="1"/>
  <c r="C2427" i="1"/>
  <c r="B2427" i="1"/>
  <c r="C2426" i="1"/>
  <c r="B2426" i="1"/>
  <c r="C2425" i="1"/>
  <c r="B2425" i="1"/>
  <c r="C2424" i="1"/>
  <c r="B2424" i="1"/>
  <c r="C2423" i="1"/>
  <c r="B2423" i="1"/>
  <c r="C2422" i="1"/>
  <c r="B2422" i="1"/>
  <c r="C2421" i="1"/>
  <c r="B2421" i="1"/>
  <c r="C2420" i="1"/>
  <c r="B2420" i="1"/>
  <c r="C2419" i="1"/>
  <c r="B2419" i="1"/>
  <c r="C2418" i="1"/>
  <c r="B2418" i="1"/>
  <c r="C2417" i="1"/>
  <c r="B2417" i="1"/>
  <c r="C2416" i="1"/>
  <c r="B2416" i="1"/>
  <c r="C2415" i="1"/>
  <c r="B2415" i="1"/>
  <c r="C2414" i="1"/>
  <c r="B2414" i="1"/>
  <c r="C2413" i="1"/>
  <c r="B2413" i="1"/>
  <c r="C2412" i="1"/>
  <c r="B2412" i="1"/>
  <c r="C2411" i="1"/>
  <c r="B2411" i="1"/>
  <c r="C2410" i="1"/>
  <c r="B2410" i="1"/>
  <c r="C2409" i="1"/>
  <c r="B2409" i="1"/>
  <c r="C2408" i="1"/>
  <c r="B2408" i="1"/>
  <c r="C2407" i="1"/>
  <c r="B2407" i="1"/>
  <c r="C2406" i="1"/>
  <c r="B2406" i="1"/>
  <c r="C2405" i="1"/>
  <c r="B2405" i="1"/>
  <c r="C2404" i="1"/>
  <c r="B2404" i="1"/>
  <c r="C2403" i="1"/>
  <c r="B2403" i="1"/>
  <c r="C2402" i="1"/>
  <c r="B2402" i="1"/>
  <c r="C2401" i="1"/>
  <c r="B2401" i="1"/>
  <c r="C2400" i="1"/>
  <c r="B2400" i="1"/>
  <c r="C2399" i="1"/>
  <c r="B2399" i="1"/>
  <c r="C2398" i="1"/>
  <c r="B2398" i="1"/>
  <c r="C2397" i="1"/>
  <c r="B2397" i="1"/>
  <c r="C2396" i="1"/>
  <c r="B2396" i="1"/>
  <c r="C2395" i="1"/>
  <c r="B2395" i="1"/>
  <c r="C2394" i="1"/>
  <c r="B2394" i="1"/>
  <c r="C2393" i="1"/>
  <c r="B2393" i="1"/>
  <c r="C2392" i="1"/>
  <c r="B2392" i="1"/>
  <c r="C2391" i="1"/>
  <c r="B2391" i="1"/>
  <c r="C2390" i="1"/>
  <c r="B2390" i="1"/>
  <c r="C2389" i="1"/>
  <c r="B2389" i="1"/>
  <c r="C2388" i="1"/>
  <c r="B2388" i="1"/>
  <c r="C2387" i="1"/>
  <c r="B2387" i="1"/>
  <c r="C2386" i="1"/>
  <c r="B2386" i="1"/>
  <c r="C2385" i="1"/>
  <c r="B2385" i="1"/>
  <c r="C2384" i="1"/>
  <c r="B2384" i="1"/>
  <c r="C2383" i="1"/>
  <c r="B2383" i="1"/>
  <c r="C2382" i="1"/>
  <c r="B2382" i="1"/>
  <c r="C2381" i="1"/>
  <c r="B2381" i="1"/>
  <c r="C2380" i="1"/>
  <c r="B2380" i="1"/>
  <c r="C2379" i="1"/>
  <c r="B2379" i="1"/>
  <c r="C2378" i="1"/>
  <c r="B2378" i="1"/>
  <c r="C2377" i="1"/>
  <c r="B2377" i="1"/>
  <c r="C2376" i="1"/>
  <c r="B2376" i="1"/>
  <c r="C2375" i="1"/>
  <c r="B2375" i="1"/>
  <c r="C2374" i="1"/>
  <c r="B2374" i="1"/>
  <c r="C2373" i="1"/>
  <c r="B2373" i="1"/>
  <c r="C2372" i="1"/>
  <c r="B2372" i="1"/>
  <c r="C2371" i="1"/>
  <c r="B2371" i="1"/>
  <c r="C2370" i="1"/>
  <c r="B2370" i="1"/>
  <c r="C2369" i="1"/>
  <c r="B2369" i="1"/>
  <c r="C2368" i="1"/>
  <c r="B2368" i="1"/>
  <c r="C2367" i="1"/>
  <c r="B2367" i="1"/>
  <c r="C2366" i="1"/>
  <c r="B2366" i="1"/>
  <c r="C2365" i="1"/>
  <c r="B2365" i="1"/>
  <c r="C2364" i="1"/>
  <c r="B2364" i="1"/>
  <c r="C2363" i="1"/>
  <c r="B2363" i="1"/>
  <c r="C2362" i="1"/>
  <c r="B2362" i="1"/>
  <c r="C2361" i="1"/>
  <c r="B2361" i="1"/>
  <c r="C2360" i="1"/>
  <c r="B2360" i="1"/>
  <c r="C2359" i="1"/>
  <c r="B2359" i="1"/>
  <c r="C2358" i="1"/>
  <c r="B2358" i="1"/>
  <c r="C2357" i="1"/>
  <c r="B2357" i="1"/>
  <c r="C2356" i="1"/>
  <c r="B2356" i="1"/>
  <c r="C2355" i="1"/>
  <c r="B2355" i="1"/>
  <c r="C2354" i="1"/>
  <c r="B2354" i="1"/>
  <c r="C2353" i="1"/>
  <c r="B2353" i="1"/>
  <c r="C2352" i="1"/>
  <c r="B2352" i="1"/>
  <c r="C2351" i="1"/>
  <c r="B2351" i="1"/>
  <c r="C2350" i="1"/>
  <c r="B2350" i="1"/>
  <c r="C2349" i="1"/>
  <c r="B2349" i="1"/>
  <c r="C2348" i="1"/>
  <c r="B2348" i="1"/>
  <c r="C2347" i="1"/>
  <c r="B2347" i="1"/>
  <c r="C2346" i="1"/>
  <c r="B2346" i="1"/>
  <c r="C2345" i="1"/>
  <c r="B2345" i="1"/>
  <c r="C2344" i="1"/>
  <c r="B2344" i="1"/>
  <c r="C2343" i="1"/>
  <c r="B2343" i="1"/>
  <c r="C2342" i="1"/>
  <c r="B2342" i="1"/>
  <c r="C2341" i="1"/>
  <c r="B2341" i="1"/>
  <c r="C2340" i="1"/>
  <c r="B2340" i="1"/>
  <c r="C2339" i="1"/>
  <c r="B2339" i="1"/>
  <c r="C2338" i="1"/>
  <c r="B2338" i="1"/>
  <c r="C2337" i="1"/>
  <c r="B2337" i="1"/>
  <c r="C2336" i="1"/>
  <c r="B2336" i="1"/>
  <c r="C2335" i="1"/>
  <c r="B2335" i="1"/>
  <c r="C2334" i="1"/>
  <c r="B2334" i="1"/>
  <c r="C2333" i="1"/>
  <c r="B2333" i="1"/>
  <c r="C2332" i="1"/>
  <c r="B2332" i="1"/>
  <c r="C2331" i="1"/>
  <c r="B2331" i="1"/>
  <c r="C2330" i="1"/>
  <c r="B2330" i="1"/>
  <c r="C2329" i="1"/>
  <c r="B2329" i="1"/>
  <c r="C2328" i="1"/>
  <c r="B2328" i="1"/>
  <c r="C2327" i="1"/>
  <c r="B2327" i="1"/>
  <c r="C2326" i="1"/>
  <c r="B2326" i="1"/>
  <c r="C2325" i="1"/>
  <c r="B2325" i="1"/>
  <c r="C2324" i="1"/>
  <c r="B2324" i="1"/>
  <c r="C2323" i="1"/>
  <c r="B2323" i="1"/>
  <c r="C2322" i="1"/>
  <c r="B2322" i="1"/>
  <c r="C2321" i="1"/>
  <c r="B2321" i="1"/>
  <c r="C2320" i="1"/>
  <c r="B2320" i="1"/>
  <c r="C2319" i="1"/>
  <c r="B2319" i="1"/>
  <c r="C2318" i="1"/>
  <c r="B2318" i="1"/>
  <c r="C2317" i="1"/>
  <c r="B2317" i="1"/>
  <c r="C2316" i="1"/>
  <c r="B2316" i="1"/>
  <c r="C2315" i="1"/>
  <c r="B2315" i="1"/>
  <c r="C2314" i="1"/>
  <c r="B2314" i="1"/>
  <c r="C2313" i="1"/>
  <c r="B2313" i="1"/>
  <c r="C2312" i="1"/>
  <c r="B2312" i="1"/>
  <c r="C2311" i="1"/>
  <c r="B2311" i="1"/>
  <c r="C2310" i="1"/>
  <c r="B2310" i="1"/>
  <c r="C2309" i="1"/>
  <c r="B2309" i="1"/>
  <c r="C2308" i="1"/>
  <c r="B2308" i="1"/>
  <c r="C2307" i="1"/>
  <c r="B2307" i="1"/>
  <c r="C2306" i="1"/>
  <c r="B2306" i="1"/>
  <c r="C2305" i="1"/>
  <c r="B2305" i="1"/>
  <c r="C2304" i="1"/>
  <c r="B2304" i="1"/>
  <c r="C2303" i="1"/>
  <c r="B2303" i="1"/>
  <c r="C2302" i="1"/>
  <c r="B2302" i="1"/>
  <c r="C2301" i="1"/>
  <c r="B2301" i="1"/>
  <c r="C2300" i="1"/>
  <c r="B2300" i="1"/>
  <c r="C2299" i="1"/>
  <c r="B2299" i="1"/>
  <c r="C2298" i="1"/>
  <c r="B2298" i="1"/>
  <c r="C2297" i="1"/>
  <c r="B2297" i="1"/>
  <c r="C2296" i="1"/>
  <c r="B2296" i="1"/>
  <c r="C2295" i="1"/>
  <c r="B2295" i="1"/>
  <c r="C2294" i="1"/>
  <c r="B2294" i="1"/>
  <c r="C2293" i="1"/>
  <c r="B2293" i="1"/>
  <c r="C2292" i="1"/>
  <c r="B2292" i="1"/>
  <c r="C2291" i="1"/>
  <c r="B2291" i="1"/>
  <c r="C2290" i="1"/>
  <c r="B2290" i="1"/>
  <c r="C2289" i="1"/>
  <c r="B2289" i="1"/>
  <c r="C2288" i="1"/>
  <c r="B2288" i="1"/>
  <c r="C2287" i="1"/>
  <c r="B2287" i="1"/>
  <c r="C2286" i="1"/>
  <c r="B2286" i="1"/>
  <c r="C2285" i="1"/>
  <c r="B2285" i="1"/>
  <c r="C2284" i="1"/>
  <c r="B2284" i="1"/>
  <c r="C2283" i="1"/>
  <c r="B2283" i="1"/>
  <c r="C2282" i="1"/>
  <c r="B2282" i="1"/>
  <c r="C2281" i="1"/>
  <c r="B2281" i="1"/>
  <c r="C2280" i="1"/>
  <c r="B2280" i="1"/>
  <c r="C2279" i="1"/>
  <c r="B2279" i="1"/>
  <c r="C2278" i="1"/>
  <c r="B2278" i="1"/>
  <c r="C2277" i="1"/>
  <c r="B2277" i="1"/>
  <c r="C2276" i="1"/>
  <c r="B2276" i="1"/>
  <c r="C2275" i="1"/>
  <c r="B2275" i="1"/>
  <c r="C2274" i="1"/>
  <c r="B2274" i="1"/>
  <c r="C2273" i="1"/>
  <c r="B2273" i="1"/>
  <c r="C2272" i="1"/>
  <c r="B2272" i="1"/>
  <c r="C2271" i="1"/>
  <c r="B2271" i="1"/>
  <c r="C2270" i="1"/>
  <c r="B2270" i="1"/>
  <c r="C2269" i="1"/>
  <c r="B2269" i="1"/>
  <c r="C2268" i="1"/>
  <c r="B2268" i="1"/>
  <c r="C2267" i="1"/>
  <c r="B2267" i="1"/>
  <c r="C2266" i="1"/>
  <c r="B2266" i="1"/>
  <c r="C2265" i="1"/>
  <c r="B2265" i="1"/>
  <c r="C2264" i="1"/>
  <c r="B2264" i="1"/>
  <c r="C2263" i="1"/>
  <c r="B2263" i="1"/>
  <c r="C2262" i="1"/>
  <c r="B2262" i="1"/>
  <c r="C2261" i="1"/>
  <c r="B2261" i="1"/>
  <c r="C2260" i="1"/>
  <c r="B2260" i="1"/>
  <c r="C2259" i="1"/>
  <c r="B2259" i="1"/>
  <c r="C2258" i="1"/>
  <c r="B2258" i="1"/>
  <c r="C2257" i="1"/>
  <c r="B2257" i="1"/>
  <c r="C2256" i="1"/>
  <c r="B2256" i="1"/>
  <c r="C2255" i="1"/>
  <c r="B2255" i="1"/>
  <c r="C2254" i="1"/>
  <c r="B2254" i="1"/>
  <c r="C2253" i="1"/>
  <c r="B2253" i="1"/>
  <c r="C2252" i="1"/>
  <c r="B2252" i="1"/>
  <c r="C2251" i="1"/>
  <c r="B2251" i="1"/>
  <c r="C2250" i="1"/>
  <c r="B2250" i="1"/>
  <c r="C2249" i="1"/>
  <c r="B2249" i="1"/>
  <c r="C2248" i="1"/>
  <c r="B2248" i="1"/>
  <c r="C2247" i="1"/>
  <c r="B2247" i="1"/>
  <c r="C2246" i="1"/>
  <c r="B2246" i="1"/>
  <c r="C2245" i="1"/>
  <c r="B2245" i="1"/>
  <c r="C2244" i="1"/>
  <c r="B2244" i="1"/>
  <c r="C2243" i="1"/>
  <c r="B2243" i="1"/>
  <c r="C2242" i="1"/>
  <c r="B2242" i="1"/>
  <c r="C2241" i="1"/>
  <c r="B2241" i="1"/>
  <c r="C2240" i="1"/>
  <c r="B2240" i="1"/>
  <c r="C2239" i="1"/>
  <c r="B2239" i="1"/>
  <c r="C2238" i="1"/>
  <c r="B2238" i="1"/>
  <c r="C2237" i="1"/>
  <c r="B2237" i="1"/>
  <c r="C2236" i="1"/>
  <c r="B2236" i="1"/>
  <c r="C2235" i="1"/>
  <c r="B2235" i="1"/>
  <c r="C2234" i="1"/>
  <c r="B2234" i="1"/>
  <c r="C2233" i="1"/>
  <c r="B2233" i="1"/>
  <c r="C2232" i="1"/>
  <c r="B2232" i="1"/>
  <c r="C2231" i="1"/>
  <c r="B2231" i="1"/>
  <c r="C2230" i="1"/>
  <c r="B2230" i="1"/>
  <c r="C2229" i="1"/>
  <c r="B2229" i="1"/>
  <c r="C2228" i="1"/>
  <c r="B2228" i="1"/>
  <c r="C2227" i="1"/>
  <c r="B2227" i="1"/>
  <c r="C2226" i="1"/>
  <c r="B2226" i="1"/>
  <c r="C2225" i="1"/>
  <c r="B2225" i="1"/>
  <c r="C2224" i="1"/>
  <c r="B2224" i="1"/>
  <c r="C2223" i="1"/>
  <c r="B2223" i="1"/>
  <c r="C2222" i="1"/>
  <c r="B2222" i="1"/>
  <c r="C2221" i="1"/>
  <c r="B2221" i="1"/>
  <c r="C2220" i="1"/>
  <c r="B2220" i="1"/>
  <c r="C2219" i="1"/>
  <c r="B2219" i="1"/>
  <c r="C2218" i="1"/>
  <c r="B2218" i="1"/>
  <c r="C2217" i="1"/>
  <c r="B2217" i="1"/>
  <c r="C2216" i="1"/>
  <c r="B2216" i="1"/>
  <c r="C2215" i="1"/>
  <c r="B2215" i="1"/>
  <c r="C2214" i="1"/>
  <c r="B2214" i="1"/>
  <c r="C2213" i="1"/>
  <c r="B2213" i="1"/>
  <c r="C2212" i="1"/>
  <c r="B2212" i="1"/>
  <c r="C2211" i="1"/>
  <c r="B2211" i="1"/>
  <c r="C2210" i="1"/>
  <c r="B2210" i="1"/>
  <c r="C2209" i="1"/>
  <c r="B2209" i="1"/>
  <c r="C2208" i="1"/>
  <c r="B2208" i="1"/>
  <c r="C2207" i="1"/>
  <c r="B2207" i="1"/>
  <c r="C2206" i="1"/>
  <c r="B2206" i="1"/>
  <c r="C2205" i="1"/>
  <c r="B2205" i="1"/>
  <c r="C2204" i="1"/>
  <c r="B2204" i="1"/>
  <c r="C2203" i="1"/>
  <c r="B2203" i="1"/>
  <c r="C2202" i="1"/>
  <c r="B2202" i="1"/>
  <c r="C2201" i="1"/>
  <c r="B2201" i="1"/>
  <c r="C2200" i="1"/>
  <c r="B2200" i="1"/>
  <c r="C2199" i="1"/>
  <c r="B2199" i="1"/>
  <c r="C2198" i="1"/>
  <c r="B2198" i="1"/>
  <c r="C2197" i="1"/>
  <c r="B2197" i="1"/>
  <c r="C2196" i="1"/>
  <c r="B2196" i="1"/>
  <c r="C2195" i="1"/>
  <c r="B2195" i="1"/>
  <c r="C2194" i="1"/>
  <c r="B2194" i="1"/>
  <c r="C2193" i="1"/>
  <c r="B2193" i="1"/>
  <c r="C2192" i="1"/>
  <c r="B2192" i="1"/>
  <c r="C2191" i="1"/>
  <c r="B2191" i="1"/>
  <c r="C2190" i="1"/>
  <c r="B2190" i="1"/>
  <c r="C2189" i="1"/>
  <c r="B2189" i="1"/>
  <c r="C2188" i="1"/>
  <c r="B2188" i="1"/>
  <c r="C2187" i="1"/>
  <c r="B2187" i="1"/>
  <c r="C2186" i="1"/>
  <c r="B2186" i="1"/>
  <c r="C2185" i="1"/>
  <c r="B2185" i="1"/>
  <c r="C2184" i="1"/>
  <c r="B2184" i="1"/>
  <c r="C2183" i="1"/>
  <c r="B2183" i="1"/>
  <c r="C2182" i="1"/>
  <c r="B2182" i="1"/>
  <c r="C2181" i="1"/>
  <c r="B2181" i="1"/>
  <c r="C2180" i="1"/>
  <c r="B2180" i="1"/>
  <c r="C2179" i="1"/>
  <c r="B2179" i="1"/>
  <c r="C2178" i="1"/>
  <c r="B2178" i="1"/>
  <c r="C2177" i="1"/>
  <c r="B2177" i="1"/>
  <c r="C2176" i="1"/>
  <c r="B2176" i="1"/>
  <c r="C2175" i="1"/>
  <c r="B2175" i="1"/>
  <c r="C2174" i="1"/>
  <c r="B2174" i="1"/>
  <c r="C2173" i="1"/>
  <c r="B2173" i="1"/>
  <c r="C2172" i="1"/>
  <c r="B2172" i="1"/>
  <c r="C2171" i="1"/>
  <c r="B2171" i="1"/>
  <c r="C2170" i="1"/>
  <c r="B2170" i="1"/>
  <c r="C2169" i="1"/>
  <c r="B2169" i="1"/>
  <c r="C2168" i="1"/>
  <c r="B2168" i="1"/>
  <c r="C2167" i="1"/>
  <c r="B2167" i="1"/>
  <c r="C2166" i="1"/>
  <c r="B2166" i="1"/>
  <c r="C2165" i="1"/>
  <c r="B2165" i="1"/>
  <c r="C2164" i="1"/>
  <c r="B2164" i="1"/>
  <c r="C2163" i="1"/>
  <c r="B2163" i="1"/>
  <c r="C2162" i="1"/>
  <c r="B2162" i="1"/>
  <c r="C2161" i="1"/>
  <c r="B2161" i="1"/>
  <c r="C2160" i="1"/>
  <c r="B2160" i="1"/>
  <c r="C2159" i="1"/>
  <c r="B2159" i="1"/>
  <c r="C2158" i="1"/>
  <c r="B2158" i="1"/>
  <c r="C2157" i="1"/>
  <c r="B2157" i="1"/>
  <c r="C2156" i="1"/>
  <c r="B2156" i="1"/>
  <c r="C2155" i="1"/>
  <c r="B2155" i="1"/>
  <c r="C2154" i="1"/>
  <c r="B2154" i="1"/>
  <c r="C2153" i="1"/>
  <c r="B2153" i="1"/>
  <c r="C2152" i="1"/>
  <c r="B2152" i="1"/>
  <c r="C2151" i="1"/>
  <c r="B2151" i="1"/>
  <c r="C2150" i="1"/>
  <c r="B2150" i="1"/>
  <c r="C2149" i="1"/>
  <c r="B2149" i="1"/>
  <c r="C2148" i="1"/>
  <c r="B2148" i="1"/>
  <c r="C2147" i="1"/>
  <c r="B2147" i="1"/>
  <c r="C2146" i="1"/>
  <c r="B2146" i="1"/>
  <c r="C2145" i="1"/>
  <c r="B2145" i="1"/>
  <c r="C2144" i="1"/>
  <c r="B2144" i="1"/>
  <c r="C2143" i="1"/>
  <c r="B2143" i="1"/>
  <c r="C2142" i="1"/>
  <c r="B2142" i="1"/>
  <c r="C2141" i="1"/>
  <c r="B2141" i="1"/>
  <c r="C2140" i="1"/>
  <c r="B2140" i="1"/>
  <c r="C2139" i="1"/>
  <c r="B2139" i="1"/>
  <c r="C2138" i="1"/>
  <c r="B2138" i="1"/>
  <c r="C2137" i="1"/>
  <c r="B2137" i="1"/>
  <c r="C2136" i="1"/>
  <c r="B2136" i="1"/>
  <c r="C2135" i="1"/>
  <c r="B2135" i="1"/>
  <c r="C2134" i="1"/>
  <c r="B2134" i="1"/>
  <c r="C2133" i="1"/>
  <c r="B2133" i="1"/>
  <c r="C2132" i="1"/>
  <c r="B2132" i="1"/>
  <c r="C2131" i="1"/>
  <c r="B2131" i="1"/>
  <c r="C2130" i="1"/>
  <c r="B2130" i="1"/>
  <c r="C2129" i="1"/>
  <c r="B2129" i="1"/>
  <c r="C2128" i="1"/>
  <c r="B2128" i="1"/>
  <c r="C2127" i="1"/>
  <c r="B2127" i="1"/>
  <c r="C2126" i="1"/>
  <c r="B2126" i="1"/>
  <c r="C2125" i="1"/>
  <c r="B2125" i="1"/>
  <c r="C2124" i="1"/>
  <c r="B2124" i="1"/>
  <c r="C2123" i="1"/>
  <c r="B2123" i="1"/>
  <c r="C2122" i="1"/>
  <c r="B2122" i="1"/>
  <c r="C2121" i="1"/>
  <c r="B2121" i="1"/>
  <c r="C2120" i="1"/>
  <c r="B2120" i="1"/>
  <c r="C2119" i="1"/>
  <c r="B2119" i="1"/>
  <c r="C2118" i="1"/>
  <c r="B2118" i="1"/>
  <c r="C2117" i="1"/>
  <c r="B2117" i="1"/>
  <c r="C2116" i="1"/>
  <c r="B2116" i="1"/>
  <c r="C2115" i="1"/>
  <c r="B2115" i="1"/>
  <c r="C2114" i="1"/>
  <c r="B2114" i="1"/>
  <c r="C2113" i="1"/>
  <c r="B2113" i="1"/>
  <c r="C2112" i="1"/>
  <c r="B2112" i="1"/>
  <c r="C2111" i="1"/>
  <c r="B2111" i="1"/>
  <c r="C2110" i="1"/>
  <c r="B2110" i="1"/>
  <c r="C2109" i="1"/>
  <c r="B2109" i="1"/>
  <c r="C2108" i="1"/>
  <c r="B2108" i="1"/>
  <c r="C2107" i="1"/>
  <c r="B2107" i="1"/>
  <c r="C2106" i="1"/>
  <c r="B2106" i="1"/>
  <c r="C2105" i="1"/>
  <c r="B2105" i="1"/>
  <c r="C2104" i="1"/>
  <c r="B2104" i="1"/>
  <c r="C2103" i="1"/>
  <c r="B2103" i="1"/>
  <c r="C2102" i="1"/>
  <c r="B2102" i="1"/>
  <c r="C2101" i="1"/>
  <c r="B2101" i="1"/>
  <c r="C2100" i="1"/>
  <c r="B2100" i="1"/>
  <c r="C2099" i="1"/>
  <c r="B2099" i="1"/>
  <c r="C2098" i="1"/>
  <c r="B2098" i="1"/>
  <c r="C2097" i="1"/>
  <c r="B2097" i="1"/>
  <c r="C2096" i="1"/>
  <c r="B2096" i="1"/>
  <c r="C2095" i="1"/>
  <c r="B2095" i="1"/>
  <c r="C2094" i="1"/>
  <c r="B2094" i="1"/>
  <c r="C2093" i="1"/>
  <c r="B2093" i="1"/>
  <c r="C2092" i="1"/>
  <c r="B2092" i="1"/>
  <c r="C2091" i="1"/>
  <c r="B2091" i="1"/>
  <c r="C2090" i="1"/>
  <c r="B2090" i="1"/>
  <c r="C2089" i="1"/>
  <c r="B2089" i="1"/>
  <c r="C2088" i="1"/>
  <c r="B2088" i="1"/>
  <c r="C2087" i="1"/>
  <c r="B2087" i="1"/>
  <c r="C2086" i="1"/>
  <c r="B2086" i="1"/>
  <c r="C2085" i="1"/>
  <c r="B2085" i="1"/>
  <c r="C2084" i="1"/>
  <c r="B2084" i="1"/>
  <c r="C2083" i="1"/>
  <c r="B2083" i="1"/>
  <c r="C2082" i="1"/>
  <c r="B2082" i="1"/>
  <c r="C2081" i="1"/>
  <c r="B2081" i="1"/>
  <c r="C2080" i="1"/>
  <c r="B2080" i="1"/>
  <c r="C2079" i="1"/>
  <c r="B2079" i="1"/>
  <c r="C2078" i="1"/>
  <c r="B2078" i="1"/>
  <c r="C2077" i="1"/>
  <c r="B2077" i="1"/>
  <c r="C2076" i="1"/>
  <c r="B2076" i="1"/>
  <c r="C2075" i="1"/>
  <c r="B2075" i="1"/>
  <c r="C2074" i="1"/>
  <c r="B2074" i="1"/>
  <c r="C2073" i="1"/>
  <c r="B2073" i="1"/>
  <c r="C2072" i="1"/>
  <c r="B2072" i="1"/>
  <c r="C2071" i="1"/>
  <c r="B2071" i="1"/>
  <c r="C2070" i="1"/>
  <c r="B2070" i="1"/>
  <c r="C2069" i="1"/>
  <c r="B2069" i="1"/>
  <c r="C2068" i="1"/>
  <c r="B2068" i="1"/>
  <c r="C2067" i="1"/>
  <c r="B2067" i="1"/>
  <c r="C2066" i="1"/>
  <c r="B2066" i="1"/>
  <c r="C2065" i="1"/>
  <c r="B2065" i="1"/>
  <c r="C2064" i="1"/>
  <c r="B2064" i="1"/>
  <c r="C2063" i="1"/>
  <c r="B2063" i="1"/>
  <c r="C2062" i="1"/>
  <c r="B2062" i="1"/>
  <c r="C2061" i="1"/>
  <c r="B2061" i="1"/>
  <c r="C2060" i="1"/>
  <c r="B2060" i="1"/>
  <c r="C2059" i="1"/>
  <c r="B2059" i="1"/>
  <c r="C2058" i="1"/>
  <c r="B2058" i="1"/>
  <c r="C2057" i="1"/>
  <c r="B2057" i="1"/>
  <c r="C2056" i="1"/>
  <c r="B2056" i="1"/>
  <c r="C2055" i="1"/>
  <c r="B2055" i="1"/>
  <c r="C2054" i="1"/>
  <c r="B2054" i="1"/>
  <c r="C2053" i="1"/>
  <c r="B2053" i="1"/>
  <c r="C2052" i="1"/>
  <c r="B2052" i="1"/>
  <c r="C2051" i="1"/>
  <c r="B2051" i="1"/>
  <c r="C2050" i="1"/>
  <c r="B2050" i="1"/>
  <c r="C2049" i="1"/>
  <c r="B2049" i="1"/>
  <c r="C2048" i="1"/>
  <c r="B2048" i="1"/>
  <c r="C2047" i="1"/>
  <c r="B2047" i="1"/>
  <c r="C2046" i="1"/>
  <c r="B2046" i="1"/>
  <c r="C2045" i="1"/>
  <c r="B2045" i="1"/>
  <c r="C2044" i="1"/>
  <c r="B2044" i="1"/>
  <c r="C2043" i="1"/>
  <c r="B2043" i="1"/>
  <c r="C2042" i="1"/>
  <c r="B2042" i="1"/>
  <c r="C2041" i="1"/>
  <c r="B2041" i="1"/>
  <c r="C2040" i="1"/>
  <c r="B2040" i="1"/>
  <c r="C2039" i="1"/>
  <c r="B2039" i="1"/>
  <c r="C2038" i="1"/>
  <c r="B2038" i="1"/>
  <c r="C2037" i="1"/>
  <c r="B2037" i="1"/>
  <c r="C2036" i="1"/>
  <c r="B2036" i="1"/>
  <c r="C2035" i="1"/>
  <c r="B2035" i="1"/>
  <c r="C2034" i="1"/>
  <c r="B2034" i="1"/>
  <c r="C2033" i="1"/>
  <c r="B2033" i="1"/>
  <c r="C2032" i="1"/>
  <c r="B2032" i="1"/>
  <c r="C2031" i="1"/>
  <c r="B2031" i="1"/>
  <c r="C2030" i="1"/>
  <c r="B2030" i="1"/>
  <c r="C2029" i="1"/>
  <c r="B2029" i="1"/>
  <c r="C2028" i="1"/>
  <c r="B2028" i="1"/>
  <c r="C2027" i="1"/>
  <c r="B2027" i="1"/>
  <c r="C2026" i="1"/>
  <c r="B2026" i="1"/>
  <c r="C2025" i="1"/>
  <c r="B2025" i="1"/>
  <c r="C2024" i="1"/>
  <c r="B2024" i="1"/>
  <c r="C2023" i="1"/>
  <c r="B2023" i="1"/>
  <c r="C2022" i="1"/>
  <c r="B2022" i="1"/>
  <c r="C2021" i="1"/>
  <c r="B2021" i="1"/>
  <c r="C2020" i="1"/>
  <c r="B2020" i="1"/>
  <c r="C2019" i="1"/>
  <c r="B2019" i="1"/>
  <c r="C2018" i="1"/>
  <c r="B2018" i="1"/>
  <c r="C2017" i="1"/>
  <c r="B2017" i="1"/>
  <c r="C2016" i="1"/>
  <c r="B2016" i="1"/>
  <c r="C2015" i="1"/>
  <c r="B2015" i="1"/>
  <c r="C2014" i="1"/>
  <c r="B2014" i="1"/>
  <c r="C2013" i="1"/>
  <c r="B2013" i="1"/>
  <c r="C2012" i="1"/>
  <c r="B2012" i="1"/>
  <c r="C2011" i="1"/>
  <c r="B2011" i="1"/>
  <c r="C2010" i="1"/>
  <c r="B2010" i="1"/>
  <c r="C2009" i="1"/>
  <c r="B2009" i="1"/>
  <c r="C2008" i="1"/>
  <c r="B2008" i="1"/>
  <c r="C2007" i="1"/>
  <c r="B2007" i="1"/>
  <c r="C2006" i="1"/>
  <c r="B2006" i="1"/>
  <c r="C2005" i="1"/>
  <c r="B2005" i="1"/>
  <c r="C2004" i="1"/>
  <c r="B2004" i="1"/>
  <c r="C2003" i="1"/>
  <c r="B2003" i="1"/>
  <c r="C2002" i="1"/>
  <c r="B2002" i="1"/>
  <c r="C2001" i="1"/>
  <c r="B2001" i="1"/>
  <c r="C2000" i="1"/>
  <c r="B2000" i="1"/>
  <c r="C1999" i="1"/>
  <c r="B1999" i="1"/>
  <c r="C1998" i="1"/>
  <c r="B1998" i="1"/>
  <c r="C1997" i="1"/>
  <c r="B1997" i="1"/>
  <c r="C1996" i="1"/>
  <c r="B1996" i="1"/>
  <c r="C1995" i="1"/>
  <c r="B1995" i="1"/>
  <c r="C1994" i="1"/>
  <c r="B1994" i="1"/>
  <c r="C1993" i="1"/>
  <c r="B1993" i="1"/>
  <c r="C1992" i="1"/>
  <c r="B1992" i="1"/>
  <c r="C1991" i="1"/>
  <c r="B1991" i="1"/>
  <c r="C1990" i="1"/>
  <c r="B1990" i="1"/>
  <c r="C1989" i="1"/>
  <c r="B1989" i="1"/>
  <c r="C1988" i="1"/>
  <c r="B1988" i="1"/>
  <c r="C1987" i="1"/>
  <c r="B1987" i="1"/>
  <c r="C1986" i="1"/>
  <c r="B1986" i="1"/>
  <c r="C1985" i="1"/>
  <c r="B1985" i="1"/>
  <c r="C1984" i="1"/>
  <c r="B1984" i="1"/>
  <c r="C1983" i="1"/>
  <c r="B1983" i="1"/>
  <c r="C1982" i="1"/>
  <c r="B1982" i="1"/>
  <c r="C1981" i="1"/>
  <c r="B1981" i="1"/>
  <c r="C1980" i="1"/>
  <c r="B1980" i="1"/>
  <c r="C1979" i="1"/>
  <c r="B1979" i="1"/>
  <c r="C1978" i="1"/>
  <c r="B1978" i="1"/>
  <c r="C1977" i="1"/>
  <c r="B1977" i="1"/>
  <c r="C1976" i="1"/>
  <c r="B1976" i="1"/>
  <c r="C1975" i="1"/>
  <c r="B1975" i="1"/>
  <c r="C1974" i="1"/>
  <c r="B1974" i="1"/>
  <c r="C1973" i="1"/>
  <c r="B1973" i="1"/>
  <c r="C1972" i="1"/>
  <c r="B1972" i="1"/>
  <c r="C1971" i="1"/>
  <c r="B1971" i="1"/>
  <c r="C1970" i="1"/>
  <c r="B1970" i="1"/>
  <c r="C1969" i="1"/>
  <c r="B1969" i="1"/>
  <c r="C1968" i="1"/>
  <c r="B1968" i="1"/>
  <c r="C1967" i="1"/>
  <c r="B1967" i="1"/>
  <c r="C1966" i="1"/>
  <c r="B1966" i="1"/>
  <c r="C1965" i="1"/>
  <c r="B1965" i="1"/>
  <c r="C1964" i="1"/>
  <c r="B1964" i="1"/>
  <c r="C1963" i="1"/>
  <c r="B1963" i="1"/>
  <c r="C1962" i="1"/>
  <c r="B1962" i="1"/>
  <c r="C1961" i="1"/>
  <c r="B1961" i="1"/>
  <c r="C1960" i="1"/>
  <c r="B1960" i="1"/>
  <c r="C1959" i="1"/>
  <c r="B1959" i="1"/>
  <c r="C1958" i="1"/>
  <c r="B1958" i="1"/>
  <c r="C1957" i="1"/>
  <c r="B1957" i="1"/>
  <c r="C1956" i="1"/>
  <c r="B1956" i="1"/>
  <c r="C1955" i="1"/>
  <c r="B1955" i="1"/>
  <c r="C1954" i="1"/>
  <c r="B1954" i="1"/>
  <c r="C1953" i="1"/>
  <c r="B1953" i="1"/>
  <c r="C1952" i="1"/>
  <c r="B1952" i="1"/>
  <c r="C1951" i="1"/>
  <c r="B1951" i="1"/>
  <c r="C1950" i="1"/>
  <c r="B1950" i="1"/>
  <c r="C1949" i="1"/>
  <c r="B1949" i="1"/>
  <c r="C1948" i="1"/>
  <c r="B1948" i="1"/>
  <c r="C1947" i="1"/>
  <c r="B1947" i="1"/>
  <c r="C1946" i="1"/>
  <c r="B1946" i="1"/>
  <c r="C1945" i="1"/>
  <c r="B1945" i="1"/>
  <c r="C1944" i="1"/>
  <c r="B1944" i="1"/>
  <c r="C1943" i="1"/>
  <c r="B1943" i="1"/>
  <c r="C1942" i="1"/>
  <c r="B1942" i="1"/>
  <c r="C1941" i="1"/>
  <c r="B1941" i="1"/>
  <c r="C1940" i="1"/>
  <c r="B1940" i="1"/>
  <c r="C1939" i="1"/>
  <c r="B1939" i="1"/>
  <c r="C1938" i="1"/>
  <c r="B1938" i="1"/>
  <c r="C1937" i="1"/>
  <c r="B1937" i="1"/>
  <c r="C1936" i="1"/>
  <c r="B1936" i="1"/>
  <c r="C1935" i="1"/>
  <c r="B1935" i="1"/>
  <c r="C1934" i="1"/>
  <c r="B1934" i="1"/>
  <c r="C1933" i="1"/>
  <c r="B1933" i="1"/>
  <c r="C1932" i="1"/>
  <c r="B1932" i="1"/>
  <c r="C1931" i="1"/>
  <c r="B1931" i="1"/>
  <c r="C1930" i="1"/>
  <c r="B1930" i="1"/>
  <c r="C1929" i="1"/>
  <c r="B1929" i="1"/>
  <c r="C1928" i="1"/>
  <c r="B1928" i="1"/>
  <c r="C1927" i="1"/>
  <c r="B1927" i="1"/>
  <c r="C1926" i="1"/>
  <c r="B1926" i="1"/>
  <c r="C1925" i="1"/>
  <c r="B1925" i="1"/>
  <c r="C1924" i="1"/>
  <c r="B1924" i="1"/>
  <c r="C1923" i="1"/>
  <c r="B1923" i="1"/>
  <c r="C1922" i="1"/>
  <c r="B1922" i="1"/>
  <c r="C1921" i="1"/>
  <c r="B1921" i="1"/>
  <c r="C1920" i="1"/>
  <c r="B1920" i="1"/>
  <c r="C1919" i="1"/>
  <c r="B1919" i="1"/>
  <c r="C1918" i="1"/>
  <c r="B1918" i="1"/>
  <c r="C1917" i="1"/>
  <c r="B1917" i="1"/>
  <c r="C1916" i="1"/>
  <c r="B1916" i="1"/>
  <c r="C1915" i="1"/>
  <c r="B1915" i="1"/>
  <c r="C1914" i="1"/>
  <c r="B1914" i="1"/>
  <c r="C1913" i="1"/>
  <c r="B1913" i="1"/>
  <c r="C1912" i="1"/>
  <c r="B1912" i="1"/>
  <c r="C1911" i="1"/>
  <c r="B1911" i="1"/>
  <c r="C1910" i="1"/>
  <c r="B1910" i="1"/>
  <c r="C1909" i="1"/>
  <c r="B1909" i="1"/>
  <c r="C1908" i="1"/>
  <c r="B1908" i="1"/>
  <c r="C1907" i="1"/>
  <c r="B1907" i="1"/>
  <c r="C1906" i="1"/>
  <c r="B1906" i="1"/>
  <c r="C1905" i="1"/>
  <c r="B1905" i="1"/>
  <c r="C1904" i="1"/>
  <c r="B1904" i="1"/>
  <c r="C1903" i="1"/>
  <c r="B1903" i="1"/>
  <c r="C1902" i="1"/>
  <c r="B1902" i="1"/>
  <c r="C1901" i="1"/>
  <c r="B1901" i="1"/>
  <c r="C1900" i="1"/>
  <c r="B1900" i="1"/>
  <c r="C1899" i="1"/>
  <c r="B1899" i="1"/>
  <c r="C1898" i="1"/>
  <c r="B1898" i="1"/>
  <c r="C1897" i="1"/>
  <c r="B1897" i="1"/>
  <c r="C1896" i="1"/>
  <c r="B1896" i="1"/>
  <c r="C1895" i="1"/>
  <c r="B1895" i="1"/>
  <c r="C1894" i="1"/>
  <c r="B1894" i="1"/>
  <c r="C1893" i="1"/>
  <c r="B1893" i="1"/>
  <c r="C1892" i="1"/>
  <c r="B1892" i="1"/>
  <c r="C1891" i="1"/>
  <c r="B1891" i="1"/>
  <c r="C1890" i="1"/>
  <c r="B1890" i="1"/>
  <c r="C1889" i="1"/>
  <c r="B1889" i="1"/>
  <c r="C1888" i="1"/>
  <c r="B1888" i="1"/>
  <c r="C1887" i="1"/>
  <c r="B1887" i="1"/>
  <c r="C1886" i="1"/>
  <c r="B1886" i="1"/>
  <c r="C1885" i="1"/>
  <c r="B1885" i="1"/>
  <c r="C1884" i="1"/>
  <c r="B1884" i="1"/>
  <c r="C1883" i="1"/>
  <c r="B1883" i="1"/>
  <c r="C1882" i="1"/>
  <c r="B1882" i="1"/>
  <c r="C1881" i="1"/>
  <c r="B1881" i="1"/>
  <c r="C1880" i="1"/>
  <c r="B1880" i="1"/>
  <c r="C1879" i="1"/>
  <c r="B1879" i="1"/>
  <c r="C1878" i="1"/>
  <c r="B1878" i="1"/>
  <c r="C1877" i="1"/>
  <c r="B1877" i="1"/>
  <c r="C1876" i="1"/>
  <c r="B1876" i="1"/>
  <c r="C1875" i="1"/>
  <c r="B1875" i="1"/>
  <c r="C1874" i="1"/>
  <c r="B1874" i="1"/>
  <c r="C1873" i="1"/>
  <c r="B1873" i="1"/>
  <c r="C1872" i="1"/>
  <c r="B1872" i="1"/>
  <c r="C1871" i="1"/>
  <c r="B1871" i="1"/>
  <c r="C1870" i="1"/>
  <c r="B1870" i="1"/>
  <c r="C1869" i="1"/>
  <c r="B1869" i="1"/>
  <c r="C1868" i="1"/>
  <c r="B1868" i="1"/>
  <c r="C1867" i="1"/>
  <c r="B1867" i="1"/>
  <c r="C1866" i="1"/>
  <c r="B1866" i="1"/>
  <c r="C1865" i="1"/>
  <c r="B1865" i="1"/>
  <c r="C1864" i="1"/>
  <c r="B1864" i="1"/>
  <c r="C1863" i="1"/>
  <c r="B1863" i="1"/>
  <c r="C1862" i="1"/>
  <c r="B1862" i="1"/>
  <c r="C1861" i="1"/>
  <c r="B1861" i="1"/>
  <c r="C1860" i="1"/>
  <c r="B1860" i="1"/>
  <c r="C1859" i="1"/>
  <c r="B1859" i="1"/>
  <c r="C1858" i="1"/>
  <c r="B1858" i="1"/>
  <c r="C1857" i="1"/>
  <c r="B1857" i="1"/>
  <c r="C1856" i="1"/>
  <c r="B1856" i="1"/>
  <c r="C1855" i="1"/>
  <c r="B1855" i="1"/>
  <c r="C1854" i="1"/>
  <c r="B1854" i="1"/>
  <c r="C1853" i="1"/>
  <c r="B1853" i="1"/>
  <c r="C1852" i="1"/>
  <c r="B1852" i="1"/>
  <c r="C1851" i="1"/>
  <c r="B1851" i="1"/>
  <c r="C1850" i="1"/>
  <c r="B1850" i="1"/>
  <c r="C1849" i="1"/>
  <c r="B1849" i="1"/>
  <c r="C1848" i="1"/>
  <c r="B1848" i="1"/>
  <c r="C1847" i="1"/>
  <c r="B1847" i="1"/>
  <c r="C1846" i="1"/>
  <c r="B1846" i="1"/>
  <c r="C1845" i="1"/>
  <c r="B1845" i="1"/>
  <c r="C1844" i="1"/>
  <c r="B1844" i="1"/>
  <c r="C1843" i="1"/>
  <c r="B1843" i="1"/>
  <c r="C1842" i="1"/>
  <c r="B1842" i="1"/>
  <c r="C1841" i="1"/>
  <c r="B1841" i="1"/>
  <c r="C1840" i="1"/>
  <c r="B1840" i="1"/>
  <c r="C1839" i="1"/>
  <c r="B1839" i="1"/>
  <c r="C1838" i="1"/>
  <c r="B1838" i="1"/>
  <c r="C1837" i="1"/>
  <c r="B1837" i="1"/>
  <c r="C1836" i="1"/>
  <c r="B1836" i="1"/>
  <c r="C1835" i="1"/>
  <c r="B1835" i="1"/>
  <c r="C1834" i="1"/>
  <c r="B1834" i="1"/>
  <c r="C1833" i="1"/>
  <c r="B1833" i="1"/>
  <c r="C1832" i="1"/>
  <c r="B1832" i="1"/>
  <c r="C1831" i="1"/>
  <c r="B1831" i="1"/>
  <c r="C1830" i="1"/>
  <c r="B1830" i="1"/>
  <c r="C1829" i="1"/>
  <c r="B1829" i="1"/>
  <c r="C1828" i="1"/>
  <c r="B1828" i="1"/>
  <c r="C1827" i="1"/>
  <c r="B1827" i="1"/>
  <c r="C1826" i="1"/>
  <c r="B1826" i="1"/>
  <c r="C1825" i="1"/>
  <c r="B1825" i="1"/>
  <c r="C1824" i="1"/>
  <c r="B1824" i="1"/>
  <c r="C1823" i="1"/>
  <c r="B1823" i="1"/>
  <c r="C1822" i="1"/>
  <c r="B1822" i="1"/>
  <c r="C1821" i="1"/>
  <c r="B1821" i="1"/>
  <c r="C1820" i="1"/>
  <c r="B1820" i="1"/>
  <c r="C1819" i="1"/>
  <c r="B1819" i="1"/>
  <c r="C1818" i="1"/>
  <c r="B1818" i="1"/>
  <c r="C1817" i="1"/>
  <c r="B1817" i="1"/>
  <c r="C1816" i="1"/>
  <c r="B1816" i="1"/>
  <c r="C1815" i="1"/>
  <c r="B1815" i="1"/>
  <c r="C1814" i="1"/>
  <c r="B1814" i="1"/>
  <c r="C1813" i="1"/>
  <c r="B1813" i="1"/>
  <c r="C1812" i="1"/>
  <c r="B1812" i="1"/>
  <c r="C1811" i="1"/>
  <c r="B1811" i="1"/>
  <c r="C1810" i="1"/>
  <c r="B1810" i="1"/>
  <c r="C1809" i="1"/>
  <c r="B1809" i="1"/>
  <c r="C1808" i="1"/>
  <c r="B1808" i="1"/>
  <c r="C1807" i="1"/>
  <c r="B1807" i="1"/>
  <c r="C1806" i="1"/>
  <c r="B1806" i="1"/>
  <c r="C1805" i="1"/>
  <c r="B1805" i="1"/>
  <c r="C1804" i="1"/>
  <c r="B1804" i="1"/>
  <c r="C1803" i="1"/>
  <c r="B1803" i="1"/>
  <c r="C1802" i="1"/>
  <c r="B1802" i="1"/>
  <c r="C1801" i="1"/>
  <c r="B1801" i="1"/>
  <c r="C1800" i="1"/>
  <c r="B1800" i="1"/>
  <c r="C1799" i="1"/>
  <c r="B1799" i="1"/>
  <c r="C1798" i="1"/>
  <c r="B1798" i="1"/>
  <c r="C1797" i="1"/>
  <c r="B1797" i="1"/>
  <c r="C1796" i="1"/>
  <c r="B1796" i="1"/>
  <c r="C1795" i="1"/>
  <c r="B1795" i="1"/>
  <c r="C1794" i="1"/>
  <c r="B1794" i="1"/>
  <c r="C1793" i="1"/>
  <c r="B1793" i="1"/>
  <c r="C1792" i="1"/>
  <c r="B1792" i="1"/>
  <c r="C1791" i="1"/>
  <c r="B1791" i="1"/>
  <c r="C1790" i="1"/>
  <c r="B1790" i="1"/>
  <c r="C1789" i="1"/>
  <c r="B1789" i="1"/>
  <c r="C1788" i="1"/>
  <c r="B1788" i="1"/>
  <c r="C1787" i="1"/>
  <c r="B1787" i="1"/>
  <c r="C1786" i="1"/>
  <c r="B1786" i="1"/>
  <c r="C1785" i="1"/>
  <c r="B1785" i="1"/>
  <c r="C1784" i="1"/>
  <c r="B1784" i="1"/>
  <c r="C1783" i="1"/>
  <c r="B1783" i="1"/>
  <c r="C1782" i="1"/>
  <c r="B1782" i="1"/>
  <c r="C1781" i="1"/>
  <c r="B1781" i="1"/>
  <c r="C1780" i="1"/>
  <c r="B1780" i="1"/>
  <c r="C1779" i="1"/>
  <c r="B1779" i="1"/>
  <c r="C1778" i="1"/>
  <c r="B1778" i="1"/>
  <c r="C1777" i="1"/>
  <c r="B1777" i="1"/>
  <c r="C1776" i="1"/>
  <c r="B1776" i="1"/>
  <c r="C1775" i="1"/>
  <c r="B1775" i="1"/>
  <c r="C1774" i="1"/>
  <c r="B1774" i="1"/>
  <c r="C1773" i="1"/>
  <c r="B1773" i="1"/>
  <c r="C1772" i="1"/>
  <c r="B1772" i="1"/>
  <c r="C1771" i="1"/>
  <c r="B1771" i="1"/>
  <c r="C1770" i="1"/>
  <c r="B1770" i="1"/>
  <c r="C1769" i="1"/>
  <c r="B1769" i="1"/>
  <c r="C1768" i="1"/>
  <c r="B1768" i="1"/>
  <c r="C1767" i="1"/>
  <c r="B1767" i="1"/>
  <c r="C1766" i="1"/>
  <c r="B1766" i="1"/>
  <c r="C1765" i="1"/>
  <c r="B1765" i="1"/>
  <c r="C1764" i="1"/>
  <c r="B1764" i="1"/>
  <c r="C1763" i="1"/>
  <c r="B1763" i="1"/>
  <c r="C1762" i="1"/>
  <c r="B1762" i="1"/>
  <c r="C1761" i="1"/>
  <c r="B1761" i="1"/>
  <c r="C1760" i="1"/>
  <c r="B1760" i="1"/>
  <c r="C1759" i="1"/>
  <c r="B1759" i="1"/>
  <c r="C1758" i="1"/>
  <c r="B1758" i="1"/>
  <c r="C1757" i="1"/>
  <c r="B1757" i="1"/>
  <c r="C1756" i="1"/>
  <c r="B1756" i="1"/>
  <c r="C1755" i="1"/>
  <c r="B1755" i="1"/>
  <c r="C1754" i="1"/>
  <c r="B1754" i="1"/>
  <c r="C1753" i="1"/>
  <c r="B1753" i="1"/>
  <c r="C1752" i="1"/>
  <c r="B1752" i="1"/>
  <c r="C1751" i="1"/>
  <c r="B1751" i="1"/>
  <c r="C1750" i="1"/>
  <c r="B1750" i="1"/>
  <c r="C1749" i="1"/>
  <c r="B1749" i="1"/>
  <c r="C1748" i="1"/>
  <c r="B1748" i="1"/>
  <c r="C1747" i="1"/>
  <c r="B1747" i="1"/>
  <c r="C1746" i="1"/>
  <c r="B1746" i="1"/>
  <c r="C1745" i="1"/>
  <c r="B1745" i="1"/>
  <c r="C1744" i="1"/>
  <c r="B1744" i="1"/>
  <c r="C1743" i="1"/>
  <c r="B1743" i="1"/>
  <c r="C1742" i="1"/>
  <c r="B1742" i="1"/>
  <c r="C1741" i="1"/>
  <c r="B1741" i="1"/>
  <c r="C1740" i="1"/>
  <c r="B1740" i="1"/>
  <c r="C1739" i="1"/>
  <c r="B1739" i="1"/>
  <c r="C1738" i="1"/>
  <c r="B1738" i="1"/>
  <c r="C1737" i="1"/>
  <c r="B1737" i="1"/>
  <c r="C1736" i="1"/>
  <c r="B1736" i="1"/>
  <c r="C1735" i="1"/>
  <c r="B1735" i="1"/>
  <c r="C1734" i="1"/>
  <c r="B1734" i="1"/>
  <c r="C1733" i="1"/>
  <c r="B1733" i="1"/>
  <c r="C1732" i="1"/>
  <c r="B1732" i="1"/>
  <c r="C1731" i="1"/>
  <c r="B1731" i="1"/>
  <c r="C1730" i="1"/>
  <c r="B1730" i="1"/>
  <c r="C1729" i="1"/>
  <c r="B1729" i="1"/>
  <c r="C1728" i="1"/>
  <c r="B1728" i="1"/>
  <c r="C1727" i="1"/>
  <c r="B1727" i="1"/>
  <c r="C1726" i="1"/>
  <c r="B1726" i="1"/>
  <c r="C1725" i="1"/>
  <c r="B1725" i="1"/>
  <c r="C1724" i="1"/>
  <c r="B1724" i="1"/>
  <c r="C1723" i="1"/>
  <c r="B1723" i="1"/>
  <c r="C1722" i="1"/>
  <c r="B1722" i="1"/>
  <c r="C1721" i="1"/>
  <c r="B1721" i="1"/>
  <c r="C1720" i="1"/>
  <c r="B1720" i="1"/>
  <c r="C1719" i="1"/>
  <c r="B1719" i="1"/>
  <c r="C1718" i="1"/>
  <c r="B1718" i="1"/>
  <c r="C1717" i="1"/>
  <c r="B1717" i="1"/>
  <c r="C1716" i="1"/>
  <c r="B1716" i="1"/>
  <c r="C1715" i="1"/>
  <c r="B1715" i="1"/>
  <c r="C1714" i="1"/>
  <c r="B1714" i="1"/>
  <c r="C1713" i="1"/>
  <c r="B1713" i="1"/>
  <c r="C1712" i="1"/>
  <c r="B1712" i="1"/>
  <c r="C1711" i="1"/>
  <c r="B1711" i="1"/>
  <c r="C1710" i="1"/>
  <c r="B1710" i="1"/>
  <c r="C1709" i="1"/>
  <c r="B1709" i="1"/>
  <c r="C1708" i="1"/>
  <c r="B1708" i="1"/>
  <c r="C1707" i="1"/>
  <c r="B1707" i="1"/>
  <c r="C1706" i="1"/>
  <c r="B1706" i="1"/>
  <c r="C1705" i="1"/>
  <c r="B1705" i="1"/>
  <c r="C1704" i="1"/>
  <c r="B1704" i="1"/>
  <c r="C1703" i="1"/>
  <c r="B1703" i="1"/>
  <c r="C1702" i="1"/>
  <c r="B1702" i="1"/>
  <c r="C1701" i="1"/>
  <c r="B1701" i="1"/>
  <c r="C1700" i="1"/>
  <c r="B1700" i="1"/>
  <c r="C1699" i="1"/>
  <c r="B1699" i="1"/>
  <c r="C1698" i="1"/>
  <c r="B1698" i="1"/>
  <c r="C1697" i="1"/>
  <c r="B1697" i="1"/>
  <c r="C1696" i="1"/>
  <c r="B1696" i="1"/>
  <c r="C1695" i="1"/>
  <c r="B1695" i="1"/>
  <c r="C1694" i="1"/>
  <c r="B1694" i="1"/>
  <c r="C1693" i="1"/>
  <c r="B1693" i="1"/>
  <c r="C1692" i="1"/>
  <c r="B1692" i="1"/>
  <c r="C1691" i="1"/>
  <c r="B1691" i="1"/>
  <c r="C1690" i="1"/>
  <c r="B1690" i="1"/>
  <c r="C1689" i="1"/>
  <c r="B1689" i="1"/>
  <c r="C1688" i="1"/>
  <c r="B1688" i="1"/>
  <c r="C1687" i="1"/>
  <c r="B1687" i="1"/>
  <c r="C1686" i="1"/>
  <c r="B1686" i="1"/>
  <c r="C1685" i="1"/>
  <c r="B1685" i="1"/>
  <c r="C1684" i="1"/>
  <c r="B1684" i="1"/>
  <c r="C1683" i="1"/>
  <c r="B1683" i="1"/>
  <c r="C1682" i="1"/>
  <c r="B1682" i="1"/>
  <c r="C1681" i="1"/>
  <c r="B1681" i="1"/>
  <c r="C1680" i="1"/>
  <c r="B1680" i="1"/>
  <c r="C1679" i="1"/>
  <c r="B1679" i="1"/>
  <c r="C1678" i="1"/>
  <c r="B1678" i="1"/>
  <c r="C1677" i="1"/>
  <c r="B1677" i="1"/>
  <c r="C1676" i="1"/>
  <c r="B1676" i="1"/>
  <c r="C1675" i="1"/>
  <c r="B1675" i="1"/>
  <c r="C1674" i="1"/>
  <c r="B1674" i="1"/>
  <c r="C1673" i="1"/>
  <c r="B1673" i="1"/>
  <c r="C1672" i="1"/>
  <c r="B1672" i="1"/>
  <c r="C1671" i="1"/>
  <c r="B1671" i="1"/>
  <c r="C1670" i="1"/>
  <c r="B1670" i="1"/>
  <c r="C1669" i="1"/>
  <c r="B1669" i="1"/>
  <c r="C1668" i="1"/>
  <c r="B1668" i="1"/>
  <c r="C1667" i="1"/>
  <c r="B1667" i="1"/>
  <c r="C1666" i="1"/>
  <c r="B1666" i="1"/>
  <c r="C1665" i="1"/>
  <c r="B1665" i="1"/>
  <c r="C1664" i="1"/>
  <c r="B1664" i="1"/>
  <c r="C1663" i="1"/>
  <c r="B1663" i="1"/>
  <c r="C1662" i="1"/>
  <c r="B1662" i="1"/>
  <c r="C1661" i="1"/>
  <c r="B1661" i="1"/>
  <c r="C1660" i="1"/>
  <c r="B1660" i="1"/>
  <c r="C1659" i="1"/>
  <c r="B1659" i="1"/>
  <c r="C1658" i="1"/>
  <c r="B1658" i="1"/>
  <c r="C1657" i="1"/>
  <c r="B1657" i="1"/>
  <c r="C1656" i="1"/>
  <c r="B1656" i="1"/>
  <c r="C1655" i="1"/>
  <c r="B1655" i="1"/>
  <c r="C1654" i="1"/>
  <c r="B1654" i="1"/>
  <c r="C1653" i="1"/>
  <c r="B1653" i="1"/>
  <c r="C1652" i="1"/>
  <c r="B1652" i="1"/>
  <c r="C1651" i="1"/>
  <c r="B1651" i="1"/>
  <c r="C1650" i="1"/>
  <c r="B1650" i="1"/>
  <c r="C1649" i="1"/>
  <c r="B1649" i="1"/>
  <c r="C1648" i="1"/>
  <c r="B1648" i="1"/>
  <c r="C1647" i="1"/>
  <c r="B1647" i="1"/>
  <c r="C1646" i="1"/>
  <c r="B1646" i="1"/>
  <c r="C1645" i="1"/>
  <c r="B1645" i="1"/>
  <c r="C1644" i="1"/>
  <c r="B1644" i="1"/>
  <c r="C1643" i="1"/>
  <c r="B1643" i="1"/>
  <c r="C1642" i="1"/>
  <c r="B1642" i="1"/>
  <c r="C1641" i="1"/>
  <c r="B1641" i="1"/>
  <c r="C1640" i="1"/>
  <c r="B1640" i="1"/>
  <c r="C1639" i="1"/>
  <c r="B1639" i="1"/>
  <c r="C1638" i="1"/>
  <c r="B1638" i="1"/>
  <c r="C1637" i="1"/>
  <c r="B1637" i="1"/>
  <c r="C1636" i="1"/>
  <c r="B1636" i="1"/>
  <c r="C1635" i="1"/>
  <c r="B1635" i="1"/>
  <c r="C1634" i="1"/>
  <c r="B1634" i="1"/>
  <c r="C1633" i="1"/>
  <c r="B1633" i="1"/>
  <c r="C1632" i="1"/>
  <c r="B1632" i="1"/>
  <c r="C1631" i="1"/>
  <c r="B1631" i="1"/>
  <c r="C1630" i="1"/>
  <c r="B1630" i="1"/>
  <c r="C1629" i="1"/>
  <c r="B1629" i="1"/>
  <c r="C1628" i="1"/>
  <c r="B1628" i="1"/>
  <c r="C1627" i="1"/>
  <c r="B1627" i="1"/>
  <c r="C1626" i="1"/>
  <c r="B1626" i="1"/>
  <c r="C1625" i="1"/>
  <c r="B1625" i="1"/>
  <c r="C1624" i="1"/>
  <c r="B1624" i="1"/>
  <c r="C1623" i="1"/>
  <c r="B1623" i="1"/>
  <c r="C1622" i="1"/>
  <c r="B1622" i="1"/>
  <c r="C1621" i="1"/>
  <c r="B1621" i="1"/>
  <c r="C1620" i="1"/>
  <c r="B1620" i="1"/>
  <c r="C1619" i="1"/>
  <c r="B1619" i="1"/>
  <c r="C1618" i="1"/>
  <c r="B1618" i="1"/>
  <c r="C1617" i="1"/>
  <c r="B1617" i="1"/>
  <c r="C1616" i="1"/>
  <c r="B1616" i="1"/>
  <c r="C1615" i="1"/>
  <c r="B1615" i="1"/>
  <c r="C1614" i="1"/>
  <c r="B1614" i="1"/>
  <c r="C1613" i="1"/>
  <c r="B1613" i="1"/>
  <c r="C1612" i="1"/>
  <c r="B1612" i="1"/>
  <c r="C1611" i="1"/>
  <c r="B1611" i="1"/>
  <c r="C1610" i="1"/>
  <c r="B1610" i="1"/>
  <c r="C1609" i="1"/>
  <c r="B1609" i="1"/>
  <c r="C1608" i="1"/>
  <c r="B1608" i="1"/>
  <c r="C1607" i="1"/>
  <c r="B1607" i="1"/>
  <c r="C1606" i="1"/>
  <c r="B1606" i="1"/>
  <c r="C1605" i="1"/>
  <c r="B1605" i="1"/>
  <c r="C1604" i="1"/>
  <c r="B1604" i="1"/>
  <c r="C1603" i="1"/>
  <c r="B1603" i="1"/>
  <c r="C1602" i="1"/>
  <c r="B1602" i="1"/>
  <c r="C1601" i="1"/>
  <c r="B1601" i="1"/>
  <c r="C1600" i="1"/>
  <c r="B1600" i="1"/>
  <c r="C1599" i="1"/>
  <c r="B1599" i="1"/>
  <c r="C1598" i="1"/>
  <c r="B1598" i="1"/>
  <c r="C1597" i="1"/>
  <c r="B1597" i="1"/>
  <c r="C1596" i="1"/>
  <c r="B1596" i="1"/>
  <c r="C1595" i="1"/>
  <c r="B1595" i="1"/>
  <c r="C1594" i="1"/>
  <c r="B1594" i="1"/>
  <c r="C1593" i="1"/>
  <c r="B1593" i="1"/>
  <c r="C1592" i="1"/>
  <c r="B1592" i="1"/>
  <c r="C1591" i="1"/>
  <c r="B1591" i="1"/>
  <c r="C1590" i="1"/>
  <c r="B1590" i="1"/>
  <c r="C1589" i="1"/>
  <c r="B1589" i="1"/>
  <c r="C1588" i="1"/>
  <c r="B1588" i="1"/>
  <c r="C1587" i="1"/>
  <c r="B1587" i="1"/>
  <c r="C1586" i="1"/>
  <c r="B1586" i="1"/>
  <c r="C1585" i="1"/>
  <c r="B1585" i="1"/>
  <c r="C1584" i="1"/>
  <c r="B1584" i="1"/>
  <c r="C1583" i="1"/>
  <c r="B1583" i="1"/>
  <c r="C1582" i="1"/>
  <c r="B1582" i="1"/>
  <c r="C1581" i="1"/>
  <c r="B1581" i="1"/>
  <c r="C1580" i="1"/>
  <c r="B1580" i="1"/>
  <c r="C1579" i="1"/>
  <c r="B1579" i="1"/>
  <c r="C1578" i="1"/>
  <c r="B1578" i="1"/>
  <c r="C1577" i="1"/>
  <c r="B1577" i="1"/>
  <c r="C1576" i="1"/>
  <c r="B1576" i="1"/>
  <c r="C1575" i="1"/>
  <c r="B1575" i="1"/>
  <c r="C1574" i="1"/>
  <c r="B1574" i="1"/>
  <c r="C1573" i="1"/>
  <c r="B1573" i="1"/>
  <c r="C1572" i="1"/>
  <c r="B1572" i="1"/>
  <c r="C1571" i="1"/>
  <c r="B1571" i="1"/>
  <c r="C1570" i="1"/>
  <c r="B1570" i="1"/>
  <c r="C1569" i="1"/>
  <c r="B1569" i="1"/>
  <c r="C1568" i="1"/>
  <c r="B1568" i="1"/>
  <c r="C1567" i="1"/>
  <c r="B1567" i="1"/>
  <c r="C1566" i="1"/>
  <c r="B1566" i="1"/>
  <c r="C1565" i="1"/>
  <c r="B1565" i="1"/>
  <c r="C1564" i="1"/>
  <c r="B1564" i="1"/>
  <c r="C1563" i="1"/>
  <c r="B1563" i="1"/>
  <c r="C1562" i="1"/>
  <c r="B1562" i="1"/>
  <c r="C1561" i="1"/>
  <c r="B1561" i="1"/>
  <c r="C1560" i="1"/>
  <c r="B1560" i="1"/>
  <c r="C1559" i="1"/>
  <c r="B1559" i="1"/>
  <c r="C1558" i="1"/>
  <c r="B1558" i="1"/>
  <c r="C1557" i="1"/>
  <c r="B1557" i="1"/>
  <c r="C1556" i="1"/>
  <c r="B1556" i="1"/>
  <c r="C1555" i="1"/>
  <c r="B1555" i="1"/>
  <c r="C1554" i="1"/>
  <c r="B1554" i="1"/>
  <c r="C1553" i="1"/>
  <c r="B1553" i="1"/>
  <c r="C1552" i="1"/>
  <c r="B1552" i="1"/>
  <c r="C1551" i="1"/>
  <c r="B1551" i="1"/>
  <c r="C1550" i="1"/>
  <c r="B1550" i="1"/>
  <c r="C1549" i="1"/>
  <c r="B1549" i="1"/>
  <c r="C1548" i="1"/>
  <c r="B1548" i="1"/>
  <c r="C1547" i="1"/>
  <c r="B1547" i="1"/>
  <c r="C1546" i="1"/>
  <c r="B1546" i="1"/>
  <c r="C1545" i="1"/>
  <c r="B1545" i="1"/>
  <c r="C1544" i="1"/>
  <c r="B1544" i="1"/>
  <c r="C1543" i="1"/>
  <c r="B1543" i="1"/>
  <c r="C1542" i="1"/>
  <c r="B1542" i="1"/>
  <c r="C1541" i="1"/>
  <c r="B1541" i="1"/>
  <c r="C1540" i="1"/>
  <c r="B1540" i="1"/>
  <c r="C1539" i="1"/>
  <c r="B1539" i="1"/>
  <c r="C1538" i="1"/>
  <c r="B1538" i="1"/>
  <c r="C1537" i="1"/>
  <c r="B1537" i="1"/>
  <c r="C1536" i="1"/>
  <c r="B1536" i="1"/>
  <c r="C1535" i="1"/>
  <c r="B1535" i="1"/>
  <c r="C1534" i="1"/>
  <c r="B1534" i="1"/>
  <c r="C1533" i="1"/>
  <c r="B1533" i="1"/>
  <c r="C1532" i="1"/>
  <c r="B1532" i="1"/>
  <c r="C1531" i="1"/>
  <c r="B1531" i="1"/>
  <c r="C1530" i="1"/>
  <c r="B1530" i="1"/>
  <c r="C1529" i="1"/>
  <c r="B1529" i="1"/>
  <c r="C1528" i="1"/>
  <c r="B1528" i="1"/>
  <c r="C1527" i="1"/>
  <c r="B1527" i="1"/>
  <c r="C1526" i="1"/>
  <c r="B1526" i="1"/>
  <c r="C1525" i="1"/>
  <c r="B1525" i="1"/>
  <c r="C1524" i="1"/>
  <c r="B1524" i="1"/>
  <c r="C1523" i="1"/>
  <c r="B1523" i="1"/>
  <c r="C1522" i="1"/>
  <c r="B1522" i="1"/>
  <c r="C1521" i="1"/>
  <c r="B1521" i="1"/>
  <c r="C1520" i="1"/>
  <c r="B1520" i="1"/>
  <c r="C1519" i="1"/>
  <c r="B1519" i="1"/>
  <c r="C1518" i="1"/>
  <c r="B1518" i="1"/>
  <c r="C1517" i="1"/>
  <c r="B1517" i="1"/>
  <c r="C1516" i="1"/>
  <c r="B1516" i="1"/>
  <c r="C1515" i="1"/>
  <c r="B1515" i="1"/>
  <c r="C1514" i="1"/>
  <c r="B1514" i="1"/>
  <c r="C1513" i="1"/>
  <c r="B1513" i="1"/>
  <c r="C1512" i="1"/>
  <c r="B1512" i="1"/>
  <c r="C1511" i="1"/>
  <c r="B1511" i="1"/>
  <c r="C1510" i="1"/>
  <c r="B1510" i="1"/>
  <c r="C1509" i="1"/>
  <c r="B1509" i="1"/>
  <c r="C1508" i="1"/>
  <c r="B1508" i="1"/>
  <c r="C1507" i="1"/>
  <c r="B1507" i="1"/>
  <c r="C1506" i="1"/>
  <c r="B1506" i="1"/>
  <c r="C1505" i="1"/>
  <c r="B1505" i="1"/>
  <c r="C1504" i="1"/>
  <c r="B1504" i="1"/>
  <c r="C1503" i="1"/>
  <c r="B1503" i="1"/>
  <c r="C1502" i="1"/>
  <c r="B1502" i="1"/>
  <c r="C1501" i="1"/>
  <c r="B1501" i="1"/>
  <c r="C1500" i="1"/>
  <c r="B1500" i="1"/>
  <c r="C1499" i="1"/>
  <c r="B1499" i="1"/>
  <c r="C1498" i="1"/>
  <c r="B1498" i="1"/>
  <c r="C1497" i="1"/>
  <c r="B1497" i="1"/>
  <c r="C1496" i="1"/>
  <c r="B1496" i="1"/>
  <c r="C1495" i="1"/>
  <c r="B1495" i="1"/>
  <c r="C1494" i="1"/>
  <c r="B1494" i="1"/>
  <c r="C1493" i="1"/>
  <c r="B1493" i="1"/>
  <c r="C1492" i="1"/>
  <c r="B1492" i="1"/>
  <c r="C1491" i="1"/>
  <c r="B1491" i="1"/>
  <c r="C1490" i="1"/>
  <c r="B1490" i="1"/>
  <c r="C1489" i="1"/>
  <c r="B1489" i="1"/>
  <c r="C1488" i="1"/>
  <c r="B1488" i="1"/>
  <c r="C1487" i="1"/>
  <c r="B1487" i="1"/>
  <c r="C1486" i="1"/>
  <c r="B1486" i="1"/>
  <c r="C1485" i="1"/>
  <c r="B1485" i="1"/>
  <c r="C1484" i="1"/>
  <c r="B1484" i="1"/>
  <c r="C1483" i="1"/>
  <c r="B1483" i="1"/>
  <c r="C1482" i="1"/>
  <c r="B1482" i="1"/>
  <c r="C1481" i="1"/>
  <c r="B1481" i="1"/>
  <c r="C1480" i="1"/>
  <c r="B1480" i="1"/>
  <c r="C1479" i="1"/>
  <c r="B1479" i="1"/>
  <c r="C1478" i="1"/>
  <c r="B1478" i="1"/>
  <c r="C1477" i="1"/>
  <c r="B1477" i="1"/>
  <c r="C1476" i="1"/>
  <c r="B1476" i="1"/>
  <c r="C1475" i="1"/>
  <c r="B1475" i="1"/>
  <c r="C1474" i="1"/>
  <c r="B1474" i="1"/>
  <c r="C1473" i="1"/>
  <c r="B1473" i="1"/>
  <c r="C1472" i="1"/>
  <c r="B1472" i="1"/>
  <c r="C1471" i="1"/>
  <c r="B1471" i="1"/>
  <c r="C1470" i="1"/>
  <c r="B1470" i="1"/>
  <c r="C1469" i="1"/>
  <c r="B1469" i="1"/>
  <c r="C1468" i="1"/>
  <c r="B1468" i="1"/>
  <c r="C1467" i="1"/>
  <c r="B1467" i="1"/>
  <c r="C1466" i="1"/>
  <c r="B1466" i="1"/>
  <c r="C1465" i="1"/>
  <c r="B1465" i="1"/>
  <c r="C1464" i="1"/>
  <c r="B1464" i="1"/>
  <c r="C1463" i="1"/>
  <c r="B1463" i="1"/>
  <c r="C1462" i="1"/>
  <c r="B1462" i="1"/>
  <c r="C1461" i="1"/>
  <c r="B1461" i="1"/>
  <c r="C1460" i="1"/>
  <c r="B1460" i="1"/>
  <c r="C1459" i="1"/>
  <c r="B1459" i="1"/>
  <c r="C1458" i="1"/>
  <c r="B1458" i="1"/>
  <c r="C1457" i="1"/>
  <c r="B1457" i="1"/>
  <c r="C1456" i="1"/>
  <c r="B1456" i="1"/>
  <c r="C1455" i="1"/>
  <c r="B1455" i="1"/>
  <c r="C1454" i="1"/>
  <c r="B1454" i="1"/>
  <c r="C1453" i="1"/>
  <c r="B1453" i="1"/>
  <c r="C1452" i="1"/>
  <c r="B1452" i="1"/>
  <c r="C1451" i="1"/>
  <c r="B1451" i="1"/>
  <c r="C1450" i="1"/>
  <c r="B1450" i="1"/>
  <c r="C1449" i="1"/>
  <c r="B1449" i="1"/>
  <c r="C1448" i="1"/>
  <c r="B1448" i="1"/>
  <c r="C1447" i="1"/>
  <c r="B1447" i="1"/>
  <c r="C1446" i="1"/>
  <c r="B1446" i="1"/>
  <c r="C1445" i="1"/>
  <c r="B1445" i="1"/>
  <c r="C1444" i="1"/>
  <c r="B1444" i="1"/>
  <c r="C1443" i="1"/>
  <c r="B1443" i="1"/>
  <c r="C1442" i="1"/>
  <c r="B1442" i="1"/>
  <c r="C1441" i="1"/>
  <c r="B1441" i="1"/>
  <c r="C1440" i="1"/>
  <c r="B1440" i="1"/>
  <c r="C1439" i="1"/>
  <c r="B1439" i="1"/>
  <c r="C1438" i="1"/>
  <c r="B1438" i="1"/>
  <c r="C1437" i="1"/>
  <c r="B1437" i="1"/>
  <c r="C1436" i="1"/>
  <c r="B1436" i="1"/>
  <c r="C1435" i="1"/>
  <c r="B1435" i="1"/>
  <c r="C1434" i="1"/>
  <c r="B1434" i="1"/>
  <c r="C1433" i="1"/>
  <c r="B1433" i="1"/>
  <c r="C1432" i="1"/>
  <c r="B1432" i="1"/>
  <c r="C1431" i="1"/>
  <c r="B1431" i="1"/>
  <c r="C1430" i="1"/>
  <c r="B1430" i="1"/>
  <c r="C1429" i="1"/>
  <c r="B1429" i="1"/>
  <c r="C1428" i="1"/>
  <c r="B1428" i="1"/>
  <c r="C1427" i="1"/>
  <c r="B1427" i="1"/>
  <c r="C1426" i="1"/>
  <c r="B1426" i="1"/>
  <c r="C1425" i="1"/>
  <c r="B1425" i="1"/>
  <c r="C1424" i="1"/>
  <c r="B1424" i="1"/>
  <c r="C1423" i="1"/>
  <c r="B1423" i="1"/>
  <c r="C1422" i="1"/>
  <c r="B1422" i="1"/>
  <c r="C1421" i="1"/>
  <c r="B1421" i="1"/>
  <c r="C1420" i="1"/>
  <c r="B1420" i="1"/>
  <c r="C1419" i="1"/>
  <c r="B1419" i="1"/>
  <c r="C1418" i="1"/>
  <c r="B1418" i="1"/>
  <c r="C1417" i="1"/>
  <c r="B1417" i="1"/>
  <c r="C1416" i="1"/>
  <c r="B1416" i="1"/>
  <c r="C1415" i="1"/>
  <c r="B1415" i="1"/>
  <c r="C1414" i="1"/>
  <c r="B1414" i="1"/>
  <c r="C1413" i="1"/>
  <c r="B1413" i="1"/>
  <c r="C1412" i="1"/>
  <c r="B1412" i="1"/>
  <c r="C1411" i="1"/>
  <c r="B1411" i="1"/>
  <c r="C1410" i="1"/>
  <c r="B1410" i="1"/>
  <c r="C1409" i="1"/>
  <c r="B1409" i="1"/>
  <c r="C1408" i="1"/>
  <c r="B1408" i="1"/>
  <c r="C1407" i="1"/>
  <c r="B1407" i="1"/>
  <c r="C1406" i="1"/>
  <c r="B1406" i="1"/>
  <c r="C1405" i="1"/>
  <c r="B1405" i="1"/>
  <c r="C1404" i="1"/>
  <c r="B1404" i="1"/>
  <c r="C1403" i="1"/>
  <c r="B1403" i="1"/>
  <c r="C1402" i="1"/>
  <c r="B1402" i="1"/>
  <c r="C1401" i="1"/>
  <c r="B1401" i="1"/>
  <c r="C1400" i="1"/>
  <c r="B1400" i="1"/>
  <c r="C1399" i="1"/>
  <c r="B1399" i="1"/>
  <c r="C1398" i="1"/>
  <c r="B1398" i="1"/>
  <c r="C1397" i="1"/>
  <c r="B1397" i="1"/>
  <c r="C1396" i="1"/>
  <c r="B1396" i="1"/>
  <c r="C1395" i="1"/>
  <c r="B1395" i="1"/>
  <c r="C1394" i="1"/>
  <c r="B1394" i="1"/>
  <c r="C1393" i="1"/>
  <c r="B1393" i="1"/>
  <c r="C1392" i="1"/>
  <c r="B1392" i="1"/>
  <c r="C1391" i="1"/>
  <c r="B1391" i="1"/>
  <c r="C1390" i="1"/>
  <c r="B1390" i="1"/>
  <c r="C1389" i="1"/>
  <c r="B1389" i="1"/>
  <c r="C1388" i="1"/>
  <c r="B1388" i="1"/>
  <c r="C1387" i="1"/>
  <c r="B1387" i="1"/>
  <c r="C1386" i="1"/>
  <c r="B1386" i="1"/>
  <c r="C1385" i="1"/>
  <c r="B1385" i="1"/>
  <c r="C1384" i="1"/>
  <c r="B1384" i="1"/>
  <c r="C1383" i="1"/>
  <c r="B1383" i="1"/>
  <c r="C1382" i="1"/>
  <c r="B1382" i="1"/>
  <c r="C1381" i="1"/>
  <c r="B1381" i="1"/>
  <c r="C1380" i="1"/>
  <c r="B1380" i="1"/>
  <c r="C1379" i="1"/>
  <c r="B1379" i="1"/>
  <c r="C1378" i="1"/>
  <c r="B1378" i="1"/>
  <c r="C1377" i="1"/>
  <c r="B1377" i="1"/>
  <c r="C1376" i="1"/>
  <c r="B1376" i="1"/>
  <c r="C1375" i="1"/>
  <c r="B1375" i="1"/>
  <c r="C1374" i="1"/>
  <c r="B1374" i="1"/>
  <c r="C1373" i="1"/>
  <c r="B1373" i="1"/>
  <c r="C1372" i="1"/>
  <c r="B1372" i="1"/>
  <c r="C1371" i="1"/>
  <c r="B1371" i="1"/>
  <c r="C1370" i="1"/>
  <c r="B1370" i="1"/>
  <c r="C1369" i="1"/>
  <c r="B1369" i="1"/>
  <c r="C1368" i="1"/>
  <c r="B1368" i="1"/>
  <c r="C1367" i="1"/>
  <c r="B1367" i="1"/>
  <c r="C1366" i="1"/>
  <c r="B1366" i="1"/>
  <c r="C1365" i="1"/>
  <c r="B1365" i="1"/>
  <c r="C1364" i="1"/>
  <c r="B1364" i="1"/>
  <c r="C1363" i="1"/>
  <c r="B1363" i="1"/>
  <c r="C1362" i="1"/>
  <c r="B1362" i="1"/>
  <c r="C1361" i="1"/>
  <c r="B1361" i="1"/>
  <c r="C1360" i="1"/>
  <c r="B1360" i="1"/>
  <c r="C1359" i="1"/>
  <c r="B1359" i="1"/>
  <c r="C1358" i="1"/>
  <c r="B1358" i="1"/>
  <c r="C1357" i="1"/>
  <c r="B1357" i="1"/>
  <c r="C1356" i="1"/>
  <c r="B1356" i="1"/>
  <c r="C1355" i="1"/>
  <c r="B1355" i="1"/>
  <c r="C1354" i="1"/>
  <c r="B1354" i="1"/>
  <c r="C1353" i="1"/>
  <c r="B1353" i="1"/>
  <c r="C1352" i="1"/>
  <c r="B1352" i="1"/>
  <c r="C1351" i="1"/>
  <c r="B1351" i="1"/>
  <c r="C1350" i="1"/>
  <c r="B1350" i="1"/>
  <c r="C1349" i="1"/>
  <c r="B1349" i="1"/>
  <c r="C1348" i="1"/>
  <c r="B1348" i="1"/>
  <c r="C1347" i="1"/>
  <c r="B1347" i="1"/>
  <c r="C1346" i="1"/>
  <c r="B1346" i="1"/>
  <c r="C1345" i="1"/>
  <c r="B1345" i="1"/>
  <c r="C1344" i="1"/>
  <c r="B1344" i="1"/>
  <c r="C1343" i="1"/>
  <c r="B1343" i="1"/>
  <c r="C1342" i="1"/>
  <c r="B1342" i="1"/>
  <c r="C1341" i="1"/>
  <c r="B1341" i="1"/>
  <c r="C1340" i="1"/>
  <c r="B1340" i="1"/>
  <c r="C1339" i="1"/>
  <c r="B1339" i="1"/>
  <c r="C1338" i="1"/>
  <c r="B1338" i="1"/>
  <c r="C1337" i="1"/>
  <c r="B1337" i="1"/>
  <c r="C1336" i="1"/>
  <c r="B1336" i="1"/>
  <c r="C1335" i="1"/>
  <c r="B1335" i="1"/>
  <c r="C1334" i="1"/>
  <c r="B1334" i="1"/>
  <c r="C1333" i="1"/>
  <c r="B1333" i="1"/>
  <c r="C1332" i="1"/>
  <c r="B1332" i="1"/>
  <c r="C1331" i="1"/>
  <c r="B1331" i="1"/>
  <c r="C1330" i="1"/>
  <c r="B1330" i="1"/>
  <c r="C1329" i="1"/>
  <c r="B1329" i="1"/>
  <c r="C1328" i="1"/>
  <c r="B1328" i="1"/>
  <c r="C1327" i="1"/>
  <c r="B1327" i="1"/>
  <c r="C1326" i="1"/>
  <c r="B1326" i="1"/>
  <c r="C1325" i="1"/>
  <c r="B1325" i="1"/>
  <c r="C1324" i="1"/>
  <c r="B1324" i="1"/>
  <c r="C1323" i="1"/>
  <c r="B1323" i="1"/>
  <c r="C1322" i="1"/>
  <c r="B1322" i="1"/>
  <c r="C1321" i="1"/>
  <c r="B1321" i="1"/>
  <c r="C1320" i="1"/>
  <c r="B1320" i="1"/>
  <c r="C1319" i="1"/>
  <c r="B1319" i="1"/>
  <c r="C1318" i="1"/>
  <c r="B1318" i="1"/>
  <c r="C1317" i="1"/>
  <c r="B1317" i="1"/>
  <c r="C1316" i="1"/>
  <c r="B1316" i="1"/>
  <c r="C1315" i="1"/>
  <c r="B1315" i="1"/>
  <c r="C1314" i="1"/>
  <c r="B1314" i="1"/>
  <c r="C1313" i="1"/>
  <c r="B1313" i="1"/>
  <c r="C1312" i="1"/>
  <c r="B1312" i="1"/>
  <c r="C1311" i="1"/>
  <c r="B1311" i="1"/>
  <c r="C1310" i="1"/>
  <c r="B1310" i="1"/>
  <c r="C1309" i="1"/>
  <c r="B1309" i="1"/>
  <c r="C1308" i="1"/>
  <c r="B1308" i="1"/>
  <c r="C1307" i="1"/>
  <c r="B1307" i="1"/>
  <c r="C1306" i="1"/>
  <c r="B1306" i="1"/>
  <c r="C1305" i="1"/>
  <c r="B1305" i="1"/>
  <c r="C1304" i="1"/>
  <c r="B1304" i="1"/>
  <c r="C1303" i="1"/>
  <c r="B1303" i="1"/>
  <c r="C1302" i="1"/>
  <c r="B1302" i="1"/>
  <c r="C1301" i="1"/>
  <c r="B1301" i="1"/>
  <c r="C1300" i="1"/>
  <c r="B1300" i="1"/>
  <c r="C1299" i="1"/>
  <c r="B1299" i="1"/>
  <c r="C1298" i="1"/>
  <c r="B1298" i="1"/>
  <c r="C1297" i="1"/>
  <c r="B1297" i="1"/>
  <c r="C1296" i="1"/>
  <c r="B1296" i="1"/>
  <c r="C1295" i="1"/>
  <c r="B1295" i="1"/>
  <c r="C1294" i="1"/>
  <c r="B1294" i="1"/>
  <c r="C1293" i="1"/>
  <c r="B1293" i="1"/>
  <c r="C1292" i="1"/>
  <c r="B1292" i="1"/>
  <c r="C1291" i="1"/>
  <c r="B1291" i="1"/>
  <c r="C1290" i="1"/>
  <c r="B1290" i="1"/>
  <c r="C1289" i="1"/>
  <c r="B1289" i="1"/>
  <c r="C1288" i="1"/>
  <c r="B1288" i="1"/>
  <c r="C1287" i="1"/>
  <c r="B1287" i="1"/>
  <c r="C1286" i="1"/>
  <c r="B1286" i="1"/>
  <c r="C1285" i="1"/>
  <c r="B1285" i="1"/>
  <c r="C1284" i="1"/>
  <c r="B1284" i="1"/>
  <c r="C1283" i="1"/>
  <c r="B1283" i="1"/>
  <c r="C1282" i="1"/>
  <c r="B1282" i="1"/>
  <c r="C1281" i="1"/>
  <c r="B1281" i="1"/>
  <c r="C1280" i="1"/>
  <c r="B1280" i="1"/>
  <c r="C1279" i="1"/>
  <c r="B1279" i="1"/>
  <c r="C1278" i="1"/>
  <c r="B1278" i="1"/>
  <c r="C1277" i="1"/>
  <c r="B1277" i="1"/>
  <c r="C1276" i="1"/>
  <c r="B1276" i="1"/>
  <c r="C1275" i="1"/>
  <c r="B1275" i="1"/>
  <c r="C1274" i="1"/>
  <c r="B1274" i="1"/>
  <c r="C1273" i="1"/>
  <c r="B1273" i="1"/>
  <c r="C1272" i="1"/>
  <c r="B1272" i="1"/>
  <c r="C1271" i="1"/>
  <c r="B1271" i="1"/>
  <c r="C1270" i="1"/>
  <c r="B1270" i="1"/>
  <c r="C1269" i="1"/>
  <c r="B1269" i="1"/>
  <c r="C1268" i="1"/>
  <c r="B1268" i="1"/>
  <c r="C1267" i="1"/>
  <c r="B1267" i="1"/>
  <c r="C1266" i="1"/>
  <c r="B1266" i="1"/>
  <c r="C1265" i="1"/>
  <c r="B1265" i="1"/>
  <c r="C1264" i="1"/>
  <c r="B1264" i="1"/>
  <c r="C1263" i="1"/>
  <c r="B1263" i="1"/>
  <c r="C1262" i="1"/>
  <c r="B1262" i="1"/>
  <c r="C1261" i="1"/>
  <c r="B1261" i="1"/>
  <c r="C1260" i="1"/>
  <c r="B1260" i="1"/>
  <c r="C1259" i="1"/>
  <c r="B1259" i="1"/>
  <c r="C1258" i="1"/>
  <c r="B1258" i="1"/>
  <c r="C1257" i="1"/>
  <c r="B1257" i="1"/>
  <c r="C1256" i="1"/>
  <c r="B1256" i="1"/>
  <c r="C1255" i="1"/>
  <c r="B1255" i="1"/>
  <c r="C1254" i="1"/>
  <c r="B1254" i="1"/>
  <c r="C1253" i="1"/>
  <c r="B1253" i="1"/>
  <c r="C1252" i="1"/>
  <c r="B1252" i="1"/>
  <c r="C1251" i="1"/>
  <c r="B1251" i="1"/>
  <c r="C1250" i="1"/>
  <c r="B1250" i="1"/>
  <c r="C1249" i="1"/>
  <c r="B1249" i="1"/>
  <c r="C1248" i="1"/>
  <c r="B1248" i="1"/>
  <c r="C1247" i="1"/>
  <c r="B1247" i="1"/>
  <c r="C1246" i="1"/>
  <c r="B1246" i="1"/>
  <c r="C1245" i="1"/>
  <c r="B1245" i="1"/>
  <c r="C1244" i="1"/>
  <c r="B1244" i="1"/>
  <c r="C1243" i="1"/>
  <c r="B1243" i="1"/>
  <c r="C1242" i="1"/>
  <c r="B1242" i="1"/>
  <c r="C1241" i="1"/>
  <c r="B1241" i="1"/>
  <c r="C1240" i="1"/>
  <c r="B1240" i="1"/>
  <c r="C1239" i="1"/>
  <c r="B1239" i="1"/>
  <c r="C1238" i="1"/>
  <c r="B1238" i="1"/>
  <c r="C1237" i="1"/>
  <c r="B1237" i="1"/>
  <c r="C1236" i="1"/>
  <c r="B1236" i="1"/>
  <c r="C1235" i="1"/>
  <c r="B1235" i="1"/>
  <c r="C1234" i="1"/>
  <c r="B1234" i="1"/>
  <c r="C1233" i="1"/>
  <c r="B1233" i="1"/>
  <c r="C1232" i="1"/>
  <c r="B1232" i="1"/>
  <c r="C1231" i="1"/>
  <c r="B1231" i="1"/>
  <c r="C1230" i="1"/>
  <c r="B1230" i="1"/>
  <c r="C1229" i="1"/>
  <c r="B1229" i="1"/>
  <c r="C1228" i="1"/>
  <c r="B1228" i="1"/>
  <c r="C1227" i="1"/>
  <c r="B1227" i="1"/>
  <c r="C1226" i="1"/>
  <c r="B1226" i="1"/>
  <c r="C1225" i="1"/>
  <c r="B1225" i="1"/>
  <c r="C1224" i="1"/>
  <c r="B1224" i="1"/>
  <c r="C1223" i="1"/>
  <c r="B1223" i="1"/>
  <c r="C1222" i="1"/>
  <c r="B1222" i="1"/>
  <c r="C1221" i="1"/>
  <c r="B1221" i="1"/>
  <c r="C1220" i="1"/>
  <c r="B1220" i="1"/>
  <c r="C1219" i="1"/>
  <c r="B1219" i="1"/>
  <c r="C1218" i="1"/>
  <c r="B1218" i="1"/>
  <c r="C1217" i="1"/>
  <c r="B1217" i="1"/>
  <c r="C1216" i="1"/>
  <c r="B1216" i="1"/>
  <c r="C1215" i="1"/>
  <c r="B1215" i="1"/>
  <c r="C1214" i="1"/>
  <c r="B1214" i="1"/>
  <c r="C1213" i="1"/>
  <c r="B1213" i="1"/>
  <c r="C1212" i="1"/>
  <c r="B1212" i="1"/>
  <c r="C1211" i="1"/>
  <c r="B1211" i="1"/>
  <c r="C1210" i="1"/>
  <c r="B1210" i="1"/>
  <c r="C1209" i="1"/>
  <c r="B1209" i="1"/>
  <c r="C1208" i="1"/>
  <c r="B1208" i="1"/>
  <c r="C1207" i="1"/>
  <c r="B1207" i="1"/>
  <c r="C1206" i="1"/>
  <c r="B1206" i="1"/>
  <c r="C1205" i="1"/>
  <c r="B1205" i="1"/>
  <c r="C1204" i="1"/>
  <c r="B1204" i="1"/>
  <c r="C1203" i="1"/>
  <c r="B1203" i="1"/>
  <c r="C1202" i="1"/>
  <c r="B1202" i="1"/>
  <c r="C1201" i="1"/>
  <c r="B1201" i="1"/>
  <c r="C1200" i="1"/>
  <c r="B1200" i="1"/>
  <c r="C1199" i="1"/>
  <c r="B1199" i="1"/>
  <c r="C1198" i="1"/>
  <c r="B1198" i="1"/>
  <c r="C1197" i="1"/>
  <c r="B1197" i="1"/>
  <c r="C1196" i="1"/>
  <c r="B1196" i="1"/>
  <c r="C1195" i="1"/>
  <c r="B1195" i="1"/>
  <c r="C1194" i="1"/>
  <c r="B1194" i="1"/>
  <c r="C1193" i="1"/>
  <c r="B1193" i="1"/>
  <c r="C1192" i="1"/>
  <c r="B1192" i="1"/>
  <c r="C1191" i="1"/>
  <c r="B1191" i="1"/>
  <c r="C1190" i="1"/>
  <c r="B1190" i="1"/>
  <c r="C1189" i="1"/>
  <c r="B1189" i="1"/>
  <c r="C1188" i="1"/>
  <c r="B1188" i="1"/>
  <c r="C1187" i="1"/>
  <c r="B1187" i="1"/>
  <c r="C1186" i="1"/>
  <c r="B1186" i="1"/>
  <c r="C1185" i="1"/>
  <c r="B1185" i="1"/>
  <c r="C1184" i="1"/>
  <c r="B1184" i="1"/>
  <c r="C1183" i="1"/>
  <c r="B1183" i="1"/>
  <c r="C1182" i="1"/>
  <c r="B1182" i="1"/>
  <c r="C1181" i="1"/>
  <c r="B1181" i="1"/>
  <c r="C1180" i="1"/>
  <c r="B1180" i="1"/>
  <c r="C1179" i="1"/>
  <c r="B1179" i="1"/>
  <c r="C1178" i="1"/>
  <c r="B1178" i="1"/>
  <c r="C1177" i="1"/>
  <c r="B1177" i="1"/>
  <c r="C1176" i="1"/>
  <c r="B1176" i="1"/>
  <c r="C1175" i="1"/>
  <c r="B1175" i="1"/>
  <c r="C1174" i="1"/>
  <c r="B1174" i="1"/>
  <c r="C1173" i="1"/>
  <c r="B1173" i="1"/>
  <c r="C1172" i="1"/>
  <c r="B1172" i="1"/>
  <c r="C1171" i="1"/>
  <c r="B1171" i="1"/>
  <c r="C1170" i="1"/>
  <c r="B1170" i="1"/>
  <c r="C1169" i="1"/>
  <c r="B1169" i="1"/>
  <c r="C1168" i="1"/>
  <c r="B1168" i="1"/>
  <c r="C1167" i="1"/>
  <c r="B1167" i="1"/>
  <c r="C1166" i="1"/>
  <c r="B1166" i="1"/>
  <c r="C1165" i="1"/>
  <c r="B1165" i="1"/>
  <c r="C1164" i="1"/>
  <c r="B1164" i="1"/>
  <c r="C1163" i="1"/>
  <c r="B1163" i="1"/>
  <c r="C1162" i="1"/>
  <c r="B1162" i="1"/>
  <c r="C1161" i="1"/>
  <c r="B1161" i="1"/>
  <c r="C1160" i="1"/>
  <c r="B1160" i="1"/>
  <c r="C1159" i="1"/>
  <c r="B1159" i="1"/>
  <c r="C1158" i="1"/>
  <c r="B1158" i="1"/>
  <c r="C1157" i="1"/>
  <c r="B1157" i="1"/>
  <c r="C1156" i="1"/>
  <c r="B1156" i="1"/>
  <c r="C1155" i="1"/>
  <c r="B1155" i="1"/>
  <c r="C1154" i="1"/>
  <c r="B1154" i="1"/>
  <c r="C1153" i="1"/>
  <c r="B1153" i="1"/>
  <c r="C1152" i="1"/>
  <c r="B1152" i="1"/>
  <c r="C1151" i="1"/>
  <c r="B1151" i="1"/>
  <c r="C1150" i="1"/>
  <c r="B1150" i="1"/>
  <c r="C1149" i="1"/>
  <c r="B1149" i="1"/>
  <c r="C1148" i="1"/>
  <c r="B1148" i="1"/>
  <c r="C1147" i="1"/>
  <c r="B1147" i="1"/>
  <c r="C1146" i="1"/>
  <c r="B1146" i="1"/>
  <c r="C1145" i="1"/>
  <c r="B1145" i="1"/>
  <c r="C1144" i="1"/>
  <c r="B1144" i="1"/>
  <c r="C1143" i="1"/>
  <c r="B1143" i="1"/>
  <c r="C1142" i="1"/>
  <c r="B1142" i="1"/>
  <c r="C1141" i="1"/>
  <c r="B1141" i="1"/>
  <c r="C1140" i="1"/>
  <c r="B1140" i="1"/>
  <c r="C1139" i="1"/>
  <c r="B1139" i="1"/>
  <c r="C1138" i="1"/>
  <c r="B1138" i="1"/>
  <c r="C1137" i="1"/>
  <c r="B1137" i="1"/>
  <c r="C1136" i="1"/>
  <c r="B1136" i="1"/>
  <c r="C1135" i="1"/>
  <c r="B1135" i="1"/>
  <c r="C1134" i="1"/>
  <c r="B1134" i="1"/>
  <c r="C1133" i="1"/>
  <c r="B1133" i="1"/>
  <c r="C1132" i="1"/>
  <c r="B1132" i="1"/>
  <c r="C1131" i="1"/>
  <c r="B1131" i="1"/>
  <c r="C1130" i="1"/>
  <c r="B1130" i="1"/>
  <c r="C1129" i="1"/>
  <c r="B1129" i="1"/>
  <c r="C1128" i="1"/>
  <c r="B1128" i="1"/>
  <c r="C1127" i="1"/>
  <c r="B1127" i="1"/>
  <c r="C1126" i="1"/>
  <c r="B1126" i="1"/>
  <c r="C1125" i="1"/>
  <c r="B1125" i="1"/>
  <c r="C1124" i="1"/>
  <c r="B1124" i="1"/>
  <c r="C1123" i="1"/>
  <c r="B1123" i="1"/>
  <c r="C1122" i="1"/>
  <c r="B1122" i="1"/>
  <c r="C1121" i="1"/>
  <c r="B1121" i="1"/>
  <c r="C1120" i="1"/>
  <c r="B1120" i="1"/>
  <c r="C1119" i="1"/>
  <c r="B1119" i="1"/>
  <c r="C1118" i="1"/>
  <c r="B1118" i="1"/>
  <c r="C1117" i="1"/>
  <c r="B1117" i="1"/>
  <c r="C1116" i="1"/>
  <c r="B1116" i="1"/>
  <c r="C1115" i="1"/>
  <c r="B1115" i="1"/>
  <c r="C1114" i="1"/>
  <c r="B1114" i="1"/>
  <c r="C1113" i="1"/>
  <c r="B1113" i="1"/>
  <c r="C1112" i="1"/>
  <c r="B1112" i="1"/>
  <c r="C1111" i="1"/>
  <c r="B1111" i="1"/>
  <c r="C1110" i="1"/>
  <c r="B1110" i="1"/>
  <c r="C1109" i="1"/>
  <c r="B1109" i="1"/>
  <c r="C1108" i="1"/>
  <c r="B1108" i="1"/>
  <c r="C1107" i="1"/>
  <c r="B1107" i="1"/>
  <c r="C1106" i="1"/>
  <c r="B1106" i="1"/>
  <c r="C1105" i="1"/>
  <c r="B1105" i="1"/>
  <c r="C1104" i="1"/>
  <c r="B1104" i="1"/>
  <c r="C1103" i="1"/>
  <c r="B1103" i="1"/>
  <c r="C1102" i="1"/>
  <c r="B1102" i="1"/>
  <c r="C1101" i="1"/>
  <c r="B1101" i="1"/>
  <c r="C1100" i="1"/>
  <c r="B1100" i="1"/>
  <c r="C1099" i="1"/>
  <c r="B1099" i="1"/>
  <c r="C1098" i="1"/>
  <c r="B1098" i="1"/>
  <c r="C1097" i="1"/>
  <c r="B1097" i="1"/>
  <c r="C1096" i="1"/>
  <c r="B1096" i="1"/>
  <c r="C1095" i="1"/>
  <c r="B1095" i="1"/>
  <c r="C1094" i="1"/>
  <c r="B1094" i="1"/>
  <c r="C1093" i="1"/>
  <c r="B1093" i="1"/>
  <c r="C1092" i="1"/>
  <c r="B1092" i="1"/>
  <c r="C1091" i="1"/>
  <c r="B1091" i="1"/>
  <c r="C1090" i="1"/>
  <c r="B1090" i="1"/>
  <c r="C1089" i="1"/>
  <c r="B1089" i="1"/>
  <c r="C1088" i="1"/>
  <c r="B1088" i="1"/>
  <c r="C1087" i="1"/>
  <c r="B1087" i="1"/>
  <c r="C1086" i="1"/>
  <c r="B1086" i="1"/>
  <c r="C1085" i="1"/>
  <c r="B1085" i="1"/>
  <c r="C1084" i="1"/>
  <c r="B1084" i="1"/>
  <c r="C1083" i="1"/>
  <c r="B1083" i="1"/>
  <c r="C1082" i="1"/>
  <c r="B1082" i="1"/>
  <c r="C1081" i="1"/>
  <c r="B1081" i="1"/>
  <c r="C1080" i="1"/>
  <c r="B1080" i="1"/>
  <c r="C1079" i="1"/>
  <c r="B1079" i="1"/>
  <c r="C1078" i="1"/>
  <c r="B1078" i="1"/>
  <c r="C1077" i="1"/>
  <c r="B1077" i="1"/>
  <c r="C1076" i="1"/>
  <c r="B1076" i="1"/>
  <c r="C1075" i="1"/>
  <c r="B1075" i="1"/>
  <c r="C1074" i="1"/>
  <c r="B1074" i="1"/>
  <c r="C1073" i="1"/>
  <c r="B1073" i="1"/>
  <c r="C1072" i="1"/>
  <c r="B1072" i="1"/>
  <c r="C1071" i="1"/>
  <c r="B1071" i="1"/>
  <c r="C1070" i="1"/>
  <c r="B1070" i="1"/>
  <c r="C1069" i="1"/>
  <c r="B1069" i="1"/>
  <c r="C1068" i="1"/>
  <c r="B1068" i="1"/>
  <c r="C1067" i="1"/>
  <c r="B1067" i="1"/>
  <c r="C1066" i="1"/>
  <c r="B1066" i="1"/>
  <c r="C1065" i="1"/>
  <c r="B1065" i="1"/>
  <c r="C1064" i="1"/>
  <c r="B1064" i="1"/>
  <c r="C1063" i="1"/>
  <c r="B1063" i="1"/>
  <c r="C1062" i="1"/>
  <c r="B1062" i="1"/>
  <c r="C1061" i="1"/>
  <c r="B1061" i="1"/>
  <c r="C1060" i="1"/>
  <c r="B1060" i="1"/>
  <c r="C1059" i="1"/>
  <c r="B1059" i="1"/>
  <c r="C1058" i="1"/>
  <c r="B1058" i="1"/>
  <c r="C1057" i="1"/>
  <c r="B1057" i="1"/>
  <c r="C1056" i="1"/>
  <c r="B1056" i="1"/>
  <c r="C1055" i="1"/>
  <c r="B1055" i="1"/>
  <c r="C1054" i="1"/>
  <c r="B1054" i="1"/>
  <c r="C1053" i="1"/>
  <c r="B1053" i="1"/>
  <c r="C1052" i="1"/>
  <c r="B1052" i="1"/>
  <c r="C1051" i="1"/>
  <c r="B1051" i="1"/>
  <c r="C1050" i="1"/>
  <c r="B1050" i="1"/>
  <c r="C1049" i="1"/>
  <c r="B1049" i="1"/>
  <c r="C1048" i="1"/>
  <c r="B1048" i="1"/>
  <c r="C1047" i="1"/>
  <c r="B1047" i="1"/>
  <c r="C1046" i="1"/>
  <c r="B1046" i="1"/>
  <c r="C1045" i="1"/>
  <c r="B1045" i="1"/>
  <c r="C1044" i="1"/>
  <c r="B1044" i="1"/>
  <c r="C1043" i="1"/>
  <c r="B1043" i="1"/>
  <c r="C1042" i="1"/>
  <c r="B1042" i="1"/>
  <c r="C1041" i="1"/>
  <c r="B1041" i="1"/>
  <c r="C1040" i="1"/>
  <c r="B1040" i="1"/>
  <c r="C1039" i="1"/>
  <c r="B1039" i="1"/>
  <c r="C1038" i="1"/>
  <c r="B1038" i="1"/>
  <c r="C1037" i="1"/>
  <c r="B1037" i="1"/>
  <c r="C1036" i="1"/>
  <c r="B1036" i="1"/>
  <c r="C1035" i="1"/>
  <c r="B1035" i="1"/>
  <c r="C1034" i="1"/>
  <c r="B1034" i="1"/>
  <c r="C1033" i="1"/>
  <c r="B1033" i="1"/>
  <c r="C1032" i="1"/>
  <c r="B1032" i="1"/>
  <c r="C1031" i="1"/>
  <c r="B1031" i="1"/>
  <c r="C1030" i="1"/>
  <c r="B1030" i="1"/>
  <c r="C1029" i="1"/>
  <c r="B1029" i="1"/>
  <c r="C1028" i="1"/>
  <c r="B1028" i="1"/>
  <c r="C1027" i="1"/>
  <c r="B1027" i="1"/>
  <c r="C1026" i="1"/>
  <c r="B1026" i="1"/>
  <c r="C1025" i="1"/>
  <c r="B1025" i="1"/>
  <c r="C1024" i="1"/>
  <c r="B1024" i="1"/>
  <c r="C1023" i="1"/>
  <c r="B1023" i="1"/>
  <c r="C1022" i="1"/>
  <c r="B1022" i="1"/>
  <c r="C1021" i="1"/>
  <c r="B1021" i="1"/>
  <c r="C1020" i="1"/>
  <c r="B1020" i="1"/>
  <c r="C1019" i="1"/>
  <c r="B1019" i="1"/>
  <c r="C1018" i="1"/>
  <c r="B1018" i="1"/>
  <c r="C1017" i="1"/>
  <c r="B1017" i="1"/>
  <c r="C1016" i="1"/>
  <c r="B1016" i="1"/>
  <c r="C1015" i="1"/>
  <c r="B1015" i="1"/>
  <c r="C1014" i="1"/>
  <c r="B1014" i="1"/>
  <c r="C1013" i="1"/>
  <c r="B1013" i="1"/>
  <c r="C1012" i="1"/>
  <c r="B1012" i="1"/>
  <c r="C1011" i="1"/>
  <c r="B1011" i="1"/>
  <c r="C1010" i="1"/>
  <c r="B1010" i="1"/>
  <c r="C1009" i="1"/>
  <c r="B1009" i="1"/>
  <c r="C1008" i="1"/>
  <c r="B1008" i="1"/>
  <c r="C1007" i="1"/>
  <c r="B1007" i="1"/>
  <c r="C1006" i="1"/>
  <c r="B1006" i="1"/>
  <c r="C1005" i="1"/>
  <c r="B1005" i="1"/>
  <c r="C1004" i="1"/>
  <c r="B1004" i="1"/>
  <c r="C1003" i="1"/>
  <c r="B1003" i="1"/>
  <c r="C1002" i="1"/>
  <c r="B1002" i="1"/>
  <c r="C1001" i="1"/>
  <c r="B1001" i="1"/>
  <c r="C1000" i="1"/>
  <c r="B1000" i="1"/>
  <c r="C999" i="1"/>
  <c r="B999" i="1"/>
  <c r="C998" i="1"/>
  <c r="B998" i="1"/>
  <c r="C997" i="1"/>
  <c r="B997" i="1"/>
  <c r="C996" i="1"/>
  <c r="B996" i="1"/>
  <c r="C995" i="1"/>
  <c r="B995" i="1"/>
  <c r="C994" i="1"/>
  <c r="B994" i="1"/>
  <c r="C993" i="1"/>
  <c r="B993" i="1"/>
  <c r="C992" i="1"/>
  <c r="B992" i="1"/>
  <c r="C991" i="1"/>
  <c r="B991" i="1"/>
  <c r="C990" i="1"/>
  <c r="B990" i="1"/>
  <c r="C989" i="1"/>
  <c r="B989" i="1"/>
  <c r="C988" i="1"/>
  <c r="B988" i="1"/>
  <c r="C987" i="1"/>
  <c r="B987" i="1"/>
  <c r="C986" i="1"/>
  <c r="B986" i="1"/>
  <c r="C985" i="1"/>
  <c r="B985" i="1"/>
  <c r="C984" i="1"/>
  <c r="B984" i="1"/>
  <c r="C983" i="1"/>
  <c r="B983" i="1"/>
  <c r="C982" i="1"/>
  <c r="B982" i="1"/>
  <c r="C981" i="1"/>
  <c r="B981" i="1"/>
  <c r="C980" i="1"/>
  <c r="B980" i="1"/>
  <c r="C979" i="1"/>
  <c r="B979" i="1"/>
  <c r="C978" i="1"/>
  <c r="B978" i="1"/>
  <c r="C977" i="1"/>
  <c r="B977" i="1"/>
  <c r="C976" i="1"/>
  <c r="B976" i="1"/>
  <c r="C975" i="1"/>
  <c r="B975" i="1"/>
  <c r="C974" i="1"/>
  <c r="B974" i="1"/>
  <c r="C973" i="1"/>
  <c r="B973" i="1"/>
  <c r="C972" i="1"/>
  <c r="B972" i="1"/>
  <c r="C971" i="1"/>
  <c r="B971" i="1"/>
  <c r="C970" i="1"/>
  <c r="B970" i="1"/>
  <c r="C969" i="1"/>
  <c r="B969" i="1"/>
  <c r="C968" i="1"/>
  <c r="B968" i="1"/>
  <c r="C967" i="1"/>
  <c r="B967" i="1"/>
  <c r="C966" i="1"/>
  <c r="B966" i="1"/>
  <c r="C965" i="1"/>
  <c r="B965" i="1"/>
  <c r="C964" i="1"/>
  <c r="B964" i="1"/>
  <c r="C963" i="1"/>
  <c r="B963" i="1"/>
  <c r="C962" i="1"/>
  <c r="B962" i="1"/>
  <c r="C961" i="1"/>
  <c r="B961" i="1"/>
  <c r="C960" i="1"/>
  <c r="B960" i="1"/>
  <c r="C959" i="1"/>
  <c r="B959" i="1"/>
  <c r="C958" i="1"/>
  <c r="B958" i="1"/>
  <c r="C957" i="1"/>
  <c r="B957" i="1"/>
  <c r="C956" i="1"/>
  <c r="B956" i="1"/>
  <c r="C955" i="1"/>
  <c r="B955" i="1"/>
  <c r="C954" i="1"/>
  <c r="B954" i="1"/>
  <c r="C953" i="1"/>
  <c r="B953" i="1"/>
  <c r="C952" i="1"/>
  <c r="B952" i="1"/>
  <c r="C951" i="1"/>
  <c r="B951" i="1"/>
  <c r="C950" i="1"/>
  <c r="B950" i="1"/>
  <c r="C949" i="1"/>
  <c r="B949" i="1"/>
  <c r="C948" i="1"/>
  <c r="B948" i="1"/>
  <c r="C947" i="1"/>
  <c r="B947" i="1"/>
  <c r="C946" i="1"/>
  <c r="B946" i="1"/>
  <c r="C945" i="1"/>
  <c r="B945" i="1"/>
  <c r="C944" i="1"/>
  <c r="B944" i="1"/>
  <c r="C943" i="1"/>
  <c r="B943" i="1"/>
  <c r="C942" i="1"/>
  <c r="B942" i="1"/>
  <c r="C941" i="1"/>
  <c r="B941" i="1"/>
  <c r="C940" i="1"/>
  <c r="B940" i="1"/>
  <c r="C939" i="1"/>
  <c r="B939" i="1"/>
  <c r="C938" i="1"/>
  <c r="B938" i="1"/>
  <c r="C937" i="1"/>
  <c r="B937" i="1"/>
  <c r="C936" i="1"/>
  <c r="B936" i="1"/>
  <c r="C935" i="1"/>
  <c r="B935" i="1"/>
  <c r="C934" i="1"/>
  <c r="B934" i="1"/>
  <c r="C933" i="1"/>
  <c r="B933" i="1"/>
  <c r="C932" i="1"/>
  <c r="B932" i="1"/>
  <c r="C931" i="1"/>
  <c r="B931" i="1"/>
  <c r="C930" i="1"/>
  <c r="B930" i="1"/>
  <c r="C929" i="1"/>
  <c r="B929" i="1"/>
  <c r="C928" i="1"/>
  <c r="B928" i="1"/>
  <c r="C927" i="1"/>
  <c r="B927" i="1"/>
  <c r="C926" i="1"/>
  <c r="B926" i="1"/>
  <c r="C925" i="1"/>
  <c r="B925" i="1"/>
  <c r="C924" i="1"/>
  <c r="B924" i="1"/>
  <c r="C923" i="1"/>
  <c r="B923" i="1"/>
  <c r="C922" i="1"/>
  <c r="B922" i="1"/>
  <c r="C921" i="1"/>
  <c r="B921" i="1"/>
  <c r="C920" i="1"/>
  <c r="B920" i="1"/>
  <c r="C919" i="1"/>
  <c r="B919" i="1"/>
  <c r="C918" i="1"/>
  <c r="B918" i="1"/>
  <c r="C917" i="1"/>
  <c r="B917" i="1"/>
  <c r="C916" i="1"/>
  <c r="B916" i="1"/>
  <c r="C915" i="1"/>
  <c r="B915" i="1"/>
  <c r="C914" i="1"/>
  <c r="B914" i="1"/>
  <c r="C913" i="1"/>
  <c r="B913" i="1"/>
  <c r="C912" i="1"/>
  <c r="B912" i="1"/>
  <c r="C911" i="1"/>
  <c r="B911" i="1"/>
  <c r="C910" i="1"/>
  <c r="B910" i="1"/>
  <c r="C909" i="1"/>
  <c r="B909" i="1"/>
  <c r="C908" i="1"/>
  <c r="B908" i="1"/>
  <c r="C907" i="1"/>
  <c r="B907" i="1"/>
  <c r="C906" i="1"/>
  <c r="B906" i="1"/>
  <c r="C905" i="1"/>
  <c r="B905" i="1"/>
  <c r="C904" i="1"/>
  <c r="B904" i="1"/>
  <c r="C903" i="1"/>
  <c r="B903" i="1"/>
  <c r="C902" i="1"/>
  <c r="B902" i="1"/>
  <c r="C901" i="1"/>
  <c r="B901" i="1"/>
  <c r="C900" i="1"/>
  <c r="B900" i="1"/>
  <c r="C899" i="1"/>
  <c r="B899" i="1"/>
  <c r="C898" i="1"/>
  <c r="B898" i="1"/>
  <c r="C897" i="1"/>
  <c r="B897" i="1"/>
  <c r="C896" i="1"/>
  <c r="B896" i="1"/>
  <c r="C895" i="1"/>
  <c r="B895" i="1"/>
  <c r="C894" i="1"/>
  <c r="B894" i="1"/>
  <c r="C893" i="1"/>
  <c r="B893" i="1"/>
  <c r="C892" i="1"/>
  <c r="B892" i="1"/>
  <c r="C891" i="1"/>
  <c r="B891" i="1"/>
  <c r="C890" i="1"/>
  <c r="B890" i="1"/>
  <c r="C889" i="1"/>
  <c r="B889" i="1"/>
  <c r="C888" i="1"/>
  <c r="B888" i="1"/>
  <c r="C887" i="1"/>
  <c r="B887" i="1"/>
  <c r="C886" i="1"/>
  <c r="B886" i="1"/>
  <c r="C885" i="1"/>
  <c r="B885" i="1"/>
  <c r="C884" i="1"/>
  <c r="B884" i="1"/>
  <c r="C883" i="1"/>
  <c r="B883" i="1"/>
  <c r="C882" i="1"/>
  <c r="B882" i="1"/>
  <c r="C881" i="1"/>
  <c r="B881" i="1"/>
  <c r="C880" i="1"/>
  <c r="B880" i="1"/>
  <c r="C879" i="1"/>
  <c r="B879" i="1"/>
  <c r="C878" i="1"/>
  <c r="B878" i="1"/>
  <c r="C877" i="1"/>
  <c r="B877" i="1"/>
  <c r="C876" i="1"/>
  <c r="B876" i="1"/>
  <c r="C875" i="1"/>
  <c r="B875" i="1"/>
  <c r="C874" i="1"/>
  <c r="B874" i="1"/>
  <c r="C873" i="1"/>
  <c r="B873" i="1"/>
  <c r="C872" i="1"/>
  <c r="B872" i="1"/>
  <c r="C871" i="1"/>
  <c r="B871" i="1"/>
  <c r="C870" i="1"/>
  <c r="B870" i="1"/>
  <c r="C869" i="1"/>
  <c r="B869" i="1"/>
  <c r="C868" i="1"/>
  <c r="B868" i="1"/>
  <c r="C867" i="1"/>
  <c r="B867" i="1"/>
  <c r="C866" i="1"/>
  <c r="B866" i="1"/>
  <c r="C865" i="1"/>
  <c r="B865" i="1"/>
  <c r="C864" i="1"/>
  <c r="B864" i="1"/>
  <c r="C863" i="1"/>
  <c r="B863" i="1"/>
  <c r="C862" i="1"/>
  <c r="B862" i="1"/>
  <c r="C861" i="1"/>
  <c r="B861" i="1"/>
  <c r="C860" i="1"/>
  <c r="B860" i="1"/>
  <c r="C859" i="1"/>
  <c r="B859" i="1"/>
  <c r="C858" i="1"/>
  <c r="B858" i="1"/>
  <c r="C857" i="1"/>
  <c r="B857" i="1"/>
  <c r="C856" i="1"/>
  <c r="B856" i="1"/>
  <c r="C855" i="1"/>
  <c r="B855" i="1"/>
  <c r="C854" i="1"/>
  <c r="B854" i="1"/>
  <c r="C853" i="1"/>
  <c r="B853" i="1"/>
  <c r="C852" i="1"/>
  <c r="B852" i="1"/>
  <c r="C851" i="1"/>
  <c r="B851" i="1"/>
  <c r="C850" i="1"/>
  <c r="B850" i="1"/>
  <c r="C849" i="1"/>
  <c r="B849" i="1"/>
  <c r="C848" i="1"/>
  <c r="B848" i="1"/>
  <c r="C847" i="1"/>
  <c r="B847" i="1"/>
  <c r="C846" i="1"/>
  <c r="B846" i="1"/>
  <c r="C845" i="1"/>
  <c r="B845" i="1"/>
  <c r="C844" i="1"/>
  <c r="B844" i="1"/>
  <c r="C843" i="1"/>
  <c r="B843" i="1"/>
  <c r="C842" i="1"/>
  <c r="B842" i="1"/>
  <c r="C841" i="1"/>
  <c r="B841" i="1"/>
  <c r="C840" i="1"/>
  <c r="B840" i="1"/>
  <c r="C839" i="1"/>
  <c r="B839" i="1"/>
  <c r="C838" i="1"/>
  <c r="B838" i="1"/>
  <c r="C837" i="1"/>
  <c r="B837" i="1"/>
  <c r="C836" i="1"/>
  <c r="B836" i="1"/>
  <c r="C835" i="1"/>
  <c r="B835" i="1"/>
  <c r="C834" i="1"/>
  <c r="B834" i="1"/>
  <c r="C833" i="1"/>
  <c r="B833" i="1"/>
  <c r="C832" i="1"/>
  <c r="B832" i="1"/>
  <c r="C831" i="1"/>
  <c r="B831" i="1"/>
  <c r="C830" i="1"/>
  <c r="B830" i="1"/>
  <c r="C829" i="1"/>
  <c r="B829" i="1"/>
  <c r="C828" i="1"/>
  <c r="B828" i="1"/>
  <c r="C827" i="1"/>
  <c r="B827" i="1"/>
  <c r="C826" i="1"/>
  <c r="B826" i="1"/>
  <c r="C825" i="1"/>
  <c r="B825" i="1"/>
  <c r="C824" i="1"/>
  <c r="B824" i="1"/>
  <c r="C823" i="1"/>
  <c r="B823" i="1"/>
  <c r="C822" i="1"/>
  <c r="B822" i="1"/>
  <c r="C821" i="1"/>
  <c r="B821" i="1"/>
  <c r="C820" i="1"/>
  <c r="B820" i="1"/>
  <c r="C819" i="1"/>
  <c r="B819" i="1"/>
  <c r="C818" i="1"/>
  <c r="B818" i="1"/>
  <c r="C817" i="1"/>
  <c r="B817" i="1"/>
  <c r="C816" i="1"/>
  <c r="B816" i="1"/>
  <c r="C815" i="1"/>
  <c r="B815" i="1"/>
  <c r="C814" i="1"/>
  <c r="B814" i="1"/>
  <c r="C813" i="1"/>
  <c r="B813" i="1"/>
  <c r="C812" i="1"/>
  <c r="B812" i="1"/>
  <c r="C811" i="1"/>
  <c r="B811" i="1"/>
  <c r="C810" i="1"/>
  <c r="B810" i="1"/>
  <c r="C809" i="1"/>
  <c r="B809" i="1"/>
  <c r="C808" i="1"/>
  <c r="B808" i="1"/>
  <c r="C807" i="1"/>
  <c r="B807" i="1"/>
  <c r="C806" i="1"/>
  <c r="B806" i="1"/>
  <c r="C805" i="1"/>
  <c r="B805" i="1"/>
  <c r="C804" i="1"/>
  <c r="B804" i="1"/>
  <c r="C803" i="1"/>
  <c r="B803" i="1"/>
  <c r="C802" i="1"/>
  <c r="B802" i="1"/>
  <c r="C801" i="1"/>
  <c r="B801" i="1"/>
  <c r="C800" i="1"/>
  <c r="B800" i="1"/>
  <c r="C799" i="1"/>
  <c r="B799" i="1"/>
  <c r="C798" i="1"/>
  <c r="B798" i="1"/>
  <c r="C797" i="1"/>
  <c r="B797" i="1"/>
  <c r="C796" i="1"/>
  <c r="B796" i="1"/>
  <c r="C795" i="1"/>
  <c r="B795" i="1"/>
  <c r="C794" i="1"/>
  <c r="B794" i="1"/>
  <c r="C793" i="1"/>
  <c r="B793" i="1"/>
  <c r="C792" i="1"/>
  <c r="B792" i="1"/>
  <c r="C791" i="1"/>
  <c r="B791" i="1"/>
  <c r="C790" i="1"/>
  <c r="B790" i="1"/>
  <c r="C789" i="1"/>
  <c r="B789" i="1"/>
  <c r="C788" i="1"/>
  <c r="B788" i="1"/>
  <c r="C787" i="1"/>
  <c r="B787" i="1"/>
  <c r="C786" i="1"/>
  <c r="B786" i="1"/>
  <c r="C785" i="1"/>
  <c r="B785" i="1"/>
  <c r="C784" i="1"/>
  <c r="B784" i="1"/>
  <c r="C783" i="1"/>
  <c r="B783" i="1"/>
  <c r="C782" i="1"/>
  <c r="B782" i="1"/>
  <c r="C781" i="1"/>
  <c r="B781" i="1"/>
  <c r="C780" i="1"/>
  <c r="B780" i="1"/>
  <c r="C779" i="1"/>
  <c r="B779" i="1"/>
  <c r="C778" i="1"/>
  <c r="B778" i="1"/>
  <c r="C777" i="1"/>
  <c r="B777" i="1"/>
  <c r="C776" i="1"/>
  <c r="B776" i="1"/>
  <c r="C775" i="1"/>
  <c r="B775" i="1"/>
  <c r="C774" i="1"/>
  <c r="B774" i="1"/>
  <c r="C773" i="1"/>
  <c r="B773" i="1"/>
  <c r="C772" i="1"/>
  <c r="B772" i="1"/>
  <c r="C771" i="1"/>
  <c r="B771" i="1"/>
  <c r="C770" i="1"/>
  <c r="B770" i="1"/>
  <c r="C769" i="1"/>
  <c r="B769" i="1"/>
  <c r="C768" i="1"/>
  <c r="B768" i="1"/>
  <c r="C767" i="1"/>
  <c r="B767" i="1"/>
  <c r="C766" i="1"/>
  <c r="B766" i="1"/>
  <c r="C765" i="1"/>
  <c r="B765" i="1"/>
  <c r="C764" i="1"/>
  <c r="B764" i="1"/>
  <c r="C763" i="1"/>
  <c r="B763" i="1"/>
  <c r="C762" i="1"/>
  <c r="B762" i="1"/>
  <c r="C761" i="1"/>
  <c r="B761" i="1"/>
  <c r="C760" i="1"/>
  <c r="B760" i="1"/>
  <c r="C759" i="1"/>
  <c r="B759" i="1"/>
  <c r="C758" i="1"/>
  <c r="B758" i="1"/>
  <c r="C757" i="1"/>
  <c r="B757" i="1"/>
  <c r="C756" i="1"/>
  <c r="B756" i="1"/>
  <c r="C755" i="1"/>
  <c r="B755" i="1"/>
  <c r="C754" i="1"/>
  <c r="B754" i="1"/>
  <c r="C753" i="1"/>
  <c r="B753" i="1"/>
  <c r="C752" i="1"/>
  <c r="B752" i="1"/>
  <c r="C751" i="1"/>
  <c r="B751" i="1"/>
  <c r="C750" i="1"/>
  <c r="B750" i="1"/>
  <c r="C749" i="1"/>
  <c r="B749" i="1"/>
  <c r="C748" i="1"/>
  <c r="B748" i="1"/>
  <c r="C747" i="1"/>
  <c r="B747" i="1"/>
  <c r="C746" i="1"/>
  <c r="B746" i="1"/>
  <c r="C745" i="1"/>
  <c r="B745" i="1"/>
  <c r="C744" i="1"/>
  <c r="B744" i="1"/>
  <c r="C743" i="1"/>
  <c r="B743" i="1"/>
  <c r="C742" i="1"/>
  <c r="B742" i="1"/>
  <c r="C741" i="1"/>
  <c r="B741" i="1"/>
  <c r="C740" i="1"/>
  <c r="B740" i="1"/>
  <c r="C739" i="1"/>
  <c r="B739" i="1"/>
  <c r="C738" i="1"/>
  <c r="B738" i="1"/>
  <c r="C737" i="1"/>
  <c r="B737" i="1"/>
  <c r="C736" i="1"/>
  <c r="B736" i="1"/>
  <c r="C735" i="1"/>
  <c r="B735" i="1"/>
  <c r="C734" i="1"/>
  <c r="B734" i="1"/>
  <c r="C733" i="1"/>
  <c r="B733" i="1"/>
  <c r="C732" i="1"/>
  <c r="B732" i="1"/>
  <c r="C731" i="1"/>
  <c r="B731" i="1"/>
  <c r="C730" i="1"/>
  <c r="B730" i="1"/>
  <c r="C729" i="1"/>
  <c r="B729" i="1"/>
  <c r="C728" i="1"/>
  <c r="B728" i="1"/>
  <c r="C727" i="1"/>
  <c r="B727" i="1"/>
  <c r="C726" i="1"/>
  <c r="B726" i="1"/>
  <c r="C725" i="1"/>
  <c r="B725" i="1"/>
  <c r="C724" i="1"/>
  <c r="B724" i="1"/>
  <c r="C723" i="1"/>
  <c r="B723" i="1"/>
  <c r="C722" i="1"/>
  <c r="B722" i="1"/>
  <c r="C721" i="1"/>
  <c r="B721" i="1"/>
  <c r="C720" i="1"/>
  <c r="B720" i="1"/>
  <c r="C719" i="1"/>
  <c r="B719" i="1"/>
  <c r="C718" i="1"/>
  <c r="B718" i="1"/>
  <c r="C717" i="1"/>
  <c r="B717" i="1"/>
  <c r="C716" i="1"/>
  <c r="B716" i="1"/>
  <c r="C715" i="1"/>
  <c r="B715" i="1"/>
  <c r="C714" i="1"/>
  <c r="B714" i="1"/>
  <c r="C713" i="1"/>
  <c r="B713" i="1"/>
  <c r="C712" i="1"/>
  <c r="B712" i="1"/>
  <c r="C711" i="1"/>
  <c r="B711" i="1"/>
  <c r="C710" i="1"/>
  <c r="B710" i="1"/>
  <c r="C709" i="1"/>
  <c r="B709" i="1"/>
  <c r="C708" i="1"/>
  <c r="B708" i="1"/>
  <c r="C707" i="1"/>
  <c r="B707" i="1"/>
  <c r="C706" i="1"/>
  <c r="B706" i="1"/>
  <c r="C705" i="1"/>
  <c r="B705" i="1"/>
  <c r="C704" i="1"/>
  <c r="B704" i="1"/>
  <c r="C703" i="1"/>
  <c r="B703" i="1"/>
  <c r="C702" i="1"/>
  <c r="B702" i="1"/>
  <c r="C701" i="1"/>
  <c r="B701" i="1"/>
  <c r="C700" i="1"/>
  <c r="B700" i="1"/>
  <c r="C699" i="1"/>
  <c r="B699" i="1"/>
  <c r="C698" i="1"/>
  <c r="B698" i="1"/>
  <c r="C697" i="1"/>
  <c r="B697" i="1"/>
  <c r="C696" i="1"/>
  <c r="B696" i="1"/>
  <c r="C695" i="1"/>
  <c r="B695" i="1"/>
  <c r="C694" i="1"/>
  <c r="B694" i="1"/>
  <c r="C693" i="1"/>
  <c r="B693" i="1"/>
  <c r="C692" i="1"/>
  <c r="B692" i="1"/>
  <c r="C691" i="1"/>
  <c r="B691" i="1"/>
  <c r="C690" i="1"/>
  <c r="B690" i="1"/>
  <c r="C689" i="1"/>
  <c r="B689" i="1"/>
  <c r="C688" i="1"/>
  <c r="B688" i="1"/>
  <c r="C687" i="1"/>
  <c r="B687" i="1"/>
  <c r="C686" i="1"/>
  <c r="B686" i="1"/>
  <c r="C685" i="1"/>
  <c r="B685" i="1"/>
  <c r="C684" i="1"/>
  <c r="B684" i="1"/>
  <c r="C683" i="1"/>
  <c r="B683" i="1"/>
  <c r="C682" i="1"/>
  <c r="B682" i="1"/>
  <c r="C681" i="1"/>
  <c r="B681" i="1"/>
  <c r="C680" i="1"/>
  <c r="B680" i="1"/>
  <c r="C679" i="1"/>
  <c r="B679" i="1"/>
  <c r="C678" i="1"/>
  <c r="B678" i="1"/>
  <c r="C677" i="1"/>
  <c r="B677" i="1"/>
  <c r="C676" i="1"/>
  <c r="B676" i="1"/>
  <c r="C675" i="1"/>
  <c r="B675" i="1"/>
  <c r="C674" i="1"/>
  <c r="B674" i="1"/>
  <c r="C673" i="1"/>
  <c r="B673" i="1"/>
  <c r="C672" i="1"/>
  <c r="B672" i="1"/>
  <c r="C671" i="1"/>
  <c r="B671" i="1"/>
  <c r="C670" i="1"/>
  <c r="B670" i="1"/>
  <c r="C669" i="1"/>
  <c r="B669" i="1"/>
  <c r="C668" i="1"/>
  <c r="B668" i="1"/>
  <c r="C667" i="1"/>
  <c r="B667" i="1"/>
  <c r="C666" i="1"/>
  <c r="B666" i="1"/>
  <c r="C665" i="1"/>
  <c r="B665" i="1"/>
  <c r="C664" i="1"/>
  <c r="B664" i="1"/>
  <c r="C663" i="1"/>
  <c r="B663" i="1"/>
  <c r="C662" i="1"/>
  <c r="B662" i="1"/>
  <c r="C661" i="1"/>
  <c r="B661" i="1"/>
  <c r="C660" i="1"/>
  <c r="B660" i="1"/>
  <c r="C659" i="1"/>
  <c r="B659" i="1"/>
  <c r="C658" i="1"/>
  <c r="B658" i="1"/>
  <c r="C657" i="1"/>
  <c r="B657" i="1"/>
  <c r="C656" i="1"/>
  <c r="B656" i="1"/>
  <c r="C655" i="1"/>
  <c r="B655" i="1"/>
  <c r="C654" i="1"/>
  <c r="B654" i="1"/>
  <c r="C653" i="1"/>
  <c r="B653" i="1"/>
  <c r="C652" i="1"/>
  <c r="B652" i="1"/>
  <c r="C651" i="1"/>
  <c r="B651" i="1"/>
  <c r="C650" i="1"/>
  <c r="B650" i="1"/>
  <c r="C649" i="1"/>
  <c r="B649" i="1"/>
  <c r="C648" i="1"/>
  <c r="B648" i="1"/>
  <c r="C647" i="1"/>
  <c r="B647" i="1"/>
  <c r="C646" i="1"/>
  <c r="B646" i="1"/>
  <c r="C645" i="1"/>
  <c r="B645" i="1"/>
  <c r="C644" i="1"/>
  <c r="B644" i="1"/>
  <c r="C643" i="1"/>
  <c r="B643" i="1"/>
  <c r="C642" i="1"/>
  <c r="B642" i="1"/>
  <c r="C641" i="1"/>
  <c r="B641" i="1"/>
  <c r="C640" i="1"/>
  <c r="B640" i="1"/>
  <c r="C639" i="1"/>
  <c r="B639" i="1"/>
  <c r="C638" i="1"/>
  <c r="B638" i="1"/>
  <c r="C637" i="1"/>
  <c r="B637" i="1"/>
  <c r="C636" i="1"/>
  <c r="B636" i="1"/>
  <c r="C635" i="1"/>
  <c r="B635" i="1"/>
  <c r="C634" i="1"/>
  <c r="B634" i="1"/>
  <c r="C633" i="1"/>
  <c r="B633" i="1"/>
  <c r="C632" i="1"/>
  <c r="B632" i="1"/>
  <c r="C631" i="1"/>
  <c r="B631" i="1"/>
  <c r="C630" i="1"/>
  <c r="B630" i="1"/>
  <c r="C629" i="1"/>
  <c r="B629" i="1"/>
  <c r="C628" i="1"/>
  <c r="B628" i="1"/>
  <c r="C627" i="1"/>
  <c r="B627" i="1"/>
  <c r="C626" i="1"/>
  <c r="B626" i="1"/>
  <c r="C625" i="1"/>
  <c r="B625" i="1"/>
  <c r="C624" i="1"/>
  <c r="B624" i="1"/>
  <c r="C623" i="1"/>
  <c r="B623" i="1"/>
  <c r="C622" i="1"/>
  <c r="B622" i="1"/>
  <c r="C621" i="1"/>
  <c r="B621" i="1"/>
  <c r="C620" i="1"/>
  <c r="B620" i="1"/>
  <c r="C619" i="1"/>
  <c r="B619" i="1"/>
  <c r="C618" i="1"/>
  <c r="B618" i="1"/>
  <c r="C617" i="1"/>
  <c r="B617" i="1"/>
  <c r="C616" i="1"/>
  <c r="B616" i="1"/>
  <c r="C615" i="1"/>
  <c r="B615" i="1"/>
  <c r="C614" i="1"/>
  <c r="B614" i="1"/>
  <c r="C613" i="1"/>
  <c r="B613" i="1"/>
  <c r="C612" i="1"/>
  <c r="B612" i="1"/>
  <c r="C611" i="1"/>
  <c r="B611" i="1"/>
  <c r="C610" i="1"/>
  <c r="B610" i="1"/>
  <c r="C609" i="1"/>
  <c r="B609" i="1"/>
  <c r="C608" i="1"/>
  <c r="B608" i="1"/>
  <c r="C607" i="1"/>
  <c r="B607" i="1"/>
  <c r="C606" i="1"/>
  <c r="B606" i="1"/>
  <c r="C605" i="1"/>
  <c r="B605" i="1"/>
  <c r="C604" i="1"/>
  <c r="B604" i="1"/>
  <c r="C603" i="1"/>
  <c r="B603" i="1"/>
  <c r="C602" i="1"/>
  <c r="B602" i="1"/>
  <c r="C601" i="1"/>
  <c r="B601" i="1"/>
  <c r="C600" i="1"/>
  <c r="B600" i="1"/>
  <c r="C599" i="1"/>
  <c r="B599" i="1"/>
  <c r="C598" i="1"/>
  <c r="B598" i="1"/>
  <c r="C597" i="1"/>
  <c r="B597" i="1"/>
  <c r="C596" i="1"/>
  <c r="B596" i="1"/>
  <c r="C595" i="1"/>
  <c r="B595" i="1"/>
  <c r="C594" i="1"/>
  <c r="B594" i="1"/>
  <c r="C593" i="1"/>
  <c r="B593" i="1"/>
  <c r="C592" i="1"/>
  <c r="B592" i="1"/>
  <c r="C591" i="1"/>
  <c r="B591" i="1"/>
  <c r="C590" i="1"/>
  <c r="B590" i="1"/>
  <c r="C589" i="1"/>
  <c r="B589" i="1"/>
  <c r="C588" i="1"/>
  <c r="B588" i="1"/>
  <c r="C587" i="1"/>
  <c r="B587" i="1"/>
  <c r="C586" i="1"/>
  <c r="B586" i="1"/>
  <c r="C585" i="1"/>
  <c r="B585" i="1"/>
  <c r="C584" i="1"/>
  <c r="B584" i="1"/>
  <c r="C583" i="1"/>
  <c r="B583" i="1"/>
  <c r="C582" i="1"/>
  <c r="B582" i="1"/>
  <c r="C581" i="1"/>
  <c r="B581" i="1"/>
  <c r="C580" i="1"/>
  <c r="B580" i="1"/>
  <c r="C579" i="1"/>
  <c r="B579" i="1"/>
  <c r="C578" i="1"/>
  <c r="B578" i="1"/>
  <c r="C577" i="1"/>
  <c r="B577" i="1"/>
  <c r="C576" i="1"/>
  <c r="B576" i="1"/>
  <c r="C575" i="1"/>
  <c r="B575" i="1"/>
  <c r="C574" i="1"/>
  <c r="B574" i="1"/>
  <c r="C573" i="1"/>
  <c r="B573" i="1"/>
  <c r="C572" i="1"/>
  <c r="B572" i="1"/>
  <c r="C571" i="1"/>
  <c r="B571" i="1"/>
  <c r="C570" i="1"/>
  <c r="B570" i="1"/>
  <c r="C569" i="1"/>
  <c r="B569" i="1"/>
  <c r="C568" i="1"/>
  <c r="B568" i="1"/>
  <c r="C567" i="1"/>
  <c r="B567" i="1"/>
  <c r="C566" i="1"/>
  <c r="B566" i="1"/>
  <c r="C565" i="1"/>
  <c r="B565" i="1"/>
  <c r="C564" i="1"/>
  <c r="B564" i="1"/>
  <c r="C563" i="1"/>
  <c r="B563" i="1"/>
  <c r="C562" i="1"/>
  <c r="B562" i="1"/>
  <c r="C561" i="1"/>
  <c r="B561" i="1"/>
  <c r="C560" i="1"/>
  <c r="B560" i="1"/>
  <c r="C559" i="1"/>
  <c r="B559" i="1"/>
  <c r="C558" i="1"/>
  <c r="B558" i="1"/>
  <c r="C557" i="1"/>
  <c r="B557" i="1"/>
  <c r="C556" i="1"/>
  <c r="B556" i="1"/>
  <c r="C555" i="1"/>
  <c r="B555" i="1"/>
  <c r="C554" i="1"/>
  <c r="B554" i="1"/>
  <c r="C553" i="1"/>
  <c r="B553" i="1"/>
  <c r="C552" i="1"/>
  <c r="B552" i="1"/>
  <c r="C551" i="1"/>
  <c r="B551" i="1"/>
  <c r="C550" i="1"/>
  <c r="B550" i="1"/>
  <c r="C549" i="1"/>
  <c r="B549" i="1"/>
  <c r="C548" i="1"/>
  <c r="B548" i="1"/>
  <c r="C547" i="1"/>
  <c r="B547" i="1"/>
  <c r="C546" i="1"/>
  <c r="B546" i="1"/>
  <c r="C545" i="1"/>
  <c r="B545" i="1"/>
  <c r="C544" i="1"/>
  <c r="B544" i="1"/>
  <c r="C543" i="1"/>
  <c r="B543" i="1"/>
  <c r="C542" i="1"/>
  <c r="B542" i="1"/>
  <c r="C541" i="1"/>
  <c r="B541" i="1"/>
  <c r="C540" i="1"/>
  <c r="B540" i="1"/>
  <c r="C539" i="1"/>
  <c r="B539" i="1"/>
  <c r="C538" i="1"/>
  <c r="B538" i="1"/>
  <c r="C537" i="1"/>
  <c r="B537" i="1"/>
  <c r="C536" i="1"/>
  <c r="B536" i="1"/>
  <c r="C535" i="1"/>
  <c r="B535" i="1"/>
  <c r="C534" i="1"/>
  <c r="B534" i="1"/>
  <c r="C533" i="1"/>
  <c r="B533" i="1"/>
  <c r="C532" i="1"/>
  <c r="B532" i="1"/>
  <c r="C531" i="1"/>
  <c r="B531" i="1"/>
  <c r="C530" i="1"/>
  <c r="B530" i="1"/>
  <c r="C529" i="1"/>
  <c r="B529" i="1"/>
  <c r="C528" i="1"/>
  <c r="B528" i="1"/>
  <c r="C527" i="1"/>
  <c r="B527" i="1"/>
  <c r="C526" i="1"/>
  <c r="B526" i="1"/>
  <c r="C525" i="1"/>
  <c r="B525" i="1"/>
  <c r="C524" i="1"/>
  <c r="B524" i="1"/>
  <c r="C523" i="1"/>
  <c r="B523" i="1"/>
  <c r="C522" i="1"/>
  <c r="B522" i="1"/>
  <c r="C521" i="1"/>
  <c r="B521" i="1"/>
  <c r="C520" i="1"/>
  <c r="B520" i="1"/>
  <c r="C519" i="1"/>
  <c r="B519" i="1"/>
  <c r="C518" i="1"/>
  <c r="B518" i="1"/>
  <c r="C517" i="1"/>
  <c r="B517" i="1"/>
  <c r="C516" i="1"/>
  <c r="B516" i="1"/>
  <c r="C515" i="1"/>
  <c r="B515" i="1"/>
  <c r="C514" i="1"/>
  <c r="B514" i="1"/>
  <c r="C513" i="1"/>
  <c r="B513" i="1"/>
  <c r="C512" i="1"/>
  <c r="B512" i="1"/>
  <c r="C511" i="1"/>
  <c r="B511" i="1"/>
  <c r="C510" i="1"/>
  <c r="B510" i="1"/>
  <c r="C509" i="1"/>
  <c r="B509" i="1"/>
  <c r="C508" i="1"/>
  <c r="B508" i="1"/>
  <c r="C507" i="1"/>
  <c r="B507" i="1"/>
  <c r="C506" i="1"/>
  <c r="B506" i="1"/>
  <c r="C505" i="1"/>
  <c r="B505" i="1"/>
  <c r="C504" i="1"/>
  <c r="B504" i="1"/>
  <c r="C503" i="1"/>
  <c r="B503" i="1"/>
  <c r="C502" i="1"/>
  <c r="B502" i="1"/>
  <c r="C501" i="1"/>
  <c r="B501" i="1"/>
  <c r="C500" i="1"/>
  <c r="B500" i="1"/>
  <c r="C499" i="1"/>
  <c r="B499" i="1"/>
  <c r="C498" i="1"/>
  <c r="B498" i="1"/>
  <c r="C497" i="1"/>
  <c r="B497" i="1"/>
  <c r="C496" i="1"/>
  <c r="B496" i="1"/>
  <c r="C495" i="1"/>
  <c r="B495" i="1"/>
  <c r="C494" i="1"/>
  <c r="B494" i="1"/>
  <c r="C493" i="1"/>
  <c r="B493" i="1"/>
  <c r="C492" i="1"/>
  <c r="B492" i="1"/>
  <c r="C491" i="1"/>
  <c r="B491" i="1"/>
  <c r="C490" i="1"/>
  <c r="B490" i="1"/>
  <c r="C489" i="1"/>
  <c r="B489" i="1"/>
  <c r="C488" i="1"/>
  <c r="B488" i="1"/>
  <c r="C487" i="1"/>
  <c r="B487" i="1"/>
  <c r="C486" i="1"/>
  <c r="B486" i="1"/>
  <c r="C485" i="1"/>
  <c r="B485" i="1"/>
  <c r="C484" i="1"/>
  <c r="B484" i="1"/>
  <c r="C483" i="1"/>
  <c r="B483" i="1"/>
  <c r="C482" i="1"/>
  <c r="B482" i="1"/>
  <c r="C481" i="1"/>
  <c r="B481" i="1"/>
  <c r="C480" i="1"/>
  <c r="B480" i="1"/>
  <c r="C479" i="1"/>
  <c r="B479" i="1"/>
  <c r="C478" i="1"/>
  <c r="B478" i="1"/>
  <c r="C477" i="1"/>
  <c r="B477" i="1"/>
  <c r="C476" i="1"/>
  <c r="B476" i="1"/>
  <c r="C475" i="1"/>
  <c r="B475" i="1"/>
  <c r="C474" i="1"/>
  <c r="B474" i="1"/>
  <c r="C473" i="1"/>
  <c r="B473" i="1"/>
  <c r="C472" i="1"/>
  <c r="B472" i="1"/>
  <c r="C471" i="1"/>
  <c r="B471" i="1"/>
  <c r="C470" i="1"/>
  <c r="B470" i="1"/>
  <c r="C469" i="1"/>
  <c r="B469" i="1"/>
  <c r="C468" i="1"/>
  <c r="B468" i="1"/>
  <c r="C467" i="1"/>
  <c r="B467" i="1"/>
  <c r="C466" i="1"/>
  <c r="B466" i="1"/>
  <c r="C465" i="1"/>
  <c r="B465" i="1"/>
  <c r="C464" i="1"/>
  <c r="B464" i="1"/>
  <c r="C463" i="1"/>
  <c r="B463" i="1"/>
  <c r="C462" i="1"/>
  <c r="B462" i="1"/>
  <c r="C461" i="1"/>
  <c r="B461" i="1"/>
  <c r="C460" i="1"/>
  <c r="B460" i="1"/>
  <c r="C459" i="1"/>
  <c r="B459" i="1"/>
  <c r="C458" i="1"/>
  <c r="B458" i="1"/>
  <c r="C457" i="1"/>
  <c r="B457" i="1"/>
  <c r="C456" i="1"/>
  <c r="B456" i="1"/>
  <c r="C455" i="1"/>
  <c r="B455" i="1"/>
  <c r="C454" i="1"/>
  <c r="B454" i="1"/>
  <c r="C453" i="1"/>
  <c r="B453" i="1"/>
  <c r="C452" i="1"/>
  <c r="B452" i="1"/>
  <c r="C451" i="1"/>
  <c r="B451" i="1"/>
  <c r="C450" i="1"/>
  <c r="B450" i="1"/>
  <c r="C449" i="1"/>
  <c r="B449" i="1"/>
  <c r="C448" i="1"/>
  <c r="B448" i="1"/>
  <c r="C447" i="1"/>
  <c r="B447" i="1"/>
  <c r="C446" i="1"/>
  <c r="B446" i="1"/>
  <c r="C445" i="1"/>
  <c r="B445" i="1"/>
  <c r="C444" i="1"/>
  <c r="B444" i="1"/>
  <c r="C443" i="1"/>
  <c r="B443" i="1"/>
  <c r="C442" i="1"/>
  <c r="B442" i="1"/>
  <c r="C441" i="1"/>
  <c r="B441" i="1"/>
  <c r="C440" i="1"/>
  <c r="B440" i="1"/>
  <c r="C439" i="1"/>
  <c r="B439" i="1"/>
  <c r="C438" i="1"/>
  <c r="B438" i="1"/>
  <c r="C437" i="1"/>
  <c r="B437" i="1"/>
  <c r="C436" i="1"/>
  <c r="B436" i="1"/>
  <c r="C435" i="1"/>
  <c r="B435" i="1"/>
  <c r="C434" i="1"/>
  <c r="B434" i="1"/>
  <c r="C433" i="1"/>
  <c r="B433" i="1"/>
  <c r="C432" i="1"/>
  <c r="B432" i="1"/>
  <c r="C431" i="1"/>
  <c r="B431" i="1"/>
  <c r="C430" i="1"/>
  <c r="B430" i="1"/>
  <c r="C429" i="1"/>
  <c r="B429" i="1"/>
  <c r="C428" i="1"/>
  <c r="B428" i="1"/>
  <c r="C427" i="1"/>
  <c r="B427" i="1"/>
  <c r="C426" i="1"/>
  <c r="B426" i="1"/>
  <c r="C425" i="1"/>
  <c r="B425" i="1"/>
  <c r="C424" i="1"/>
  <c r="B424" i="1"/>
  <c r="C423" i="1"/>
  <c r="B423" i="1"/>
  <c r="C422" i="1"/>
  <c r="B422" i="1"/>
  <c r="C421" i="1"/>
  <c r="B421" i="1"/>
  <c r="C420" i="1"/>
  <c r="B420" i="1"/>
  <c r="C419" i="1"/>
  <c r="B419" i="1"/>
  <c r="C418" i="1"/>
  <c r="B418" i="1"/>
  <c r="C417" i="1"/>
  <c r="B417" i="1"/>
  <c r="C416" i="1"/>
  <c r="B416" i="1"/>
  <c r="C415" i="1"/>
  <c r="B415" i="1"/>
  <c r="C414" i="1"/>
  <c r="B414" i="1"/>
  <c r="C413" i="1"/>
  <c r="B413" i="1"/>
  <c r="C412" i="1"/>
  <c r="B412" i="1"/>
  <c r="C411" i="1"/>
  <c r="B411" i="1"/>
  <c r="C410" i="1"/>
  <c r="B410" i="1"/>
  <c r="C409" i="1"/>
  <c r="B409" i="1"/>
  <c r="C408" i="1"/>
  <c r="B408" i="1"/>
  <c r="C407" i="1"/>
  <c r="B407" i="1"/>
  <c r="C406" i="1"/>
  <c r="B406" i="1"/>
  <c r="C405" i="1"/>
  <c r="B405" i="1"/>
  <c r="C404" i="1"/>
  <c r="B404" i="1"/>
  <c r="C403" i="1"/>
  <c r="B403" i="1"/>
  <c r="C402" i="1"/>
  <c r="B402" i="1"/>
  <c r="C401" i="1"/>
  <c r="B401" i="1"/>
  <c r="C400" i="1"/>
  <c r="B400" i="1"/>
  <c r="C399" i="1"/>
  <c r="B399" i="1"/>
  <c r="C398" i="1"/>
  <c r="B398" i="1"/>
  <c r="C397" i="1"/>
  <c r="B397" i="1"/>
  <c r="C396" i="1"/>
  <c r="B396" i="1"/>
  <c r="C395" i="1"/>
  <c r="B395" i="1"/>
  <c r="C394" i="1"/>
  <c r="B394" i="1"/>
  <c r="C393" i="1"/>
  <c r="B393" i="1"/>
  <c r="C392" i="1"/>
  <c r="B392" i="1"/>
  <c r="C391" i="1"/>
  <c r="B391" i="1"/>
  <c r="C390" i="1"/>
  <c r="B390" i="1"/>
  <c r="C389" i="1"/>
  <c r="B389" i="1"/>
  <c r="C388" i="1"/>
  <c r="B388" i="1"/>
  <c r="C387" i="1"/>
  <c r="B387" i="1"/>
  <c r="C386" i="1"/>
  <c r="B386" i="1"/>
  <c r="C385" i="1"/>
  <c r="B385" i="1"/>
  <c r="C384" i="1"/>
  <c r="B384" i="1"/>
  <c r="C383" i="1"/>
  <c r="B383" i="1"/>
  <c r="C382" i="1"/>
  <c r="B382" i="1"/>
  <c r="C381" i="1"/>
  <c r="B381" i="1"/>
  <c r="C380" i="1"/>
  <c r="B380" i="1"/>
  <c r="C379" i="1"/>
  <c r="B379" i="1"/>
  <c r="C378" i="1"/>
  <c r="B378" i="1"/>
  <c r="C377" i="1"/>
  <c r="B377" i="1"/>
  <c r="C376" i="1"/>
  <c r="B376" i="1"/>
  <c r="C375" i="1"/>
  <c r="B375" i="1"/>
  <c r="C374" i="1"/>
  <c r="B374" i="1"/>
  <c r="C373" i="1"/>
  <c r="B373" i="1"/>
  <c r="C372" i="1"/>
  <c r="B372" i="1"/>
  <c r="C371" i="1"/>
  <c r="B371" i="1"/>
  <c r="C370" i="1"/>
  <c r="B370" i="1"/>
  <c r="C369" i="1"/>
  <c r="B369" i="1"/>
  <c r="C368" i="1"/>
  <c r="B368" i="1"/>
  <c r="C367" i="1"/>
  <c r="B367" i="1"/>
  <c r="C366" i="1"/>
  <c r="B366" i="1"/>
  <c r="C365" i="1"/>
  <c r="B365" i="1"/>
  <c r="C364" i="1"/>
  <c r="B364" i="1"/>
  <c r="C363" i="1"/>
  <c r="B363" i="1"/>
  <c r="C362" i="1"/>
  <c r="B362" i="1"/>
  <c r="C361" i="1"/>
  <c r="B361" i="1"/>
  <c r="C360" i="1"/>
  <c r="B360" i="1"/>
  <c r="C359" i="1"/>
  <c r="B359" i="1"/>
  <c r="C358" i="1"/>
  <c r="B358" i="1"/>
  <c r="C357" i="1"/>
  <c r="B357" i="1"/>
  <c r="C356" i="1"/>
  <c r="B356" i="1"/>
  <c r="C355" i="1"/>
  <c r="B355" i="1"/>
  <c r="C354" i="1"/>
  <c r="B354" i="1"/>
  <c r="C353" i="1"/>
  <c r="B353" i="1"/>
  <c r="C352" i="1"/>
  <c r="B352" i="1"/>
  <c r="C351" i="1"/>
  <c r="B351" i="1"/>
  <c r="C350" i="1"/>
  <c r="B350" i="1"/>
  <c r="C349" i="1"/>
  <c r="B349" i="1"/>
  <c r="C348" i="1"/>
  <c r="B348" i="1"/>
  <c r="C347" i="1"/>
  <c r="B347" i="1"/>
  <c r="C346" i="1"/>
  <c r="B346" i="1"/>
  <c r="C345" i="1"/>
  <c r="B345" i="1"/>
  <c r="C344" i="1"/>
  <c r="B344" i="1"/>
  <c r="C343" i="1"/>
  <c r="B343" i="1"/>
  <c r="C342" i="1"/>
  <c r="B342" i="1"/>
  <c r="C341" i="1"/>
  <c r="B341" i="1"/>
  <c r="C340" i="1"/>
  <c r="B340" i="1"/>
  <c r="C339" i="1"/>
  <c r="B339" i="1"/>
  <c r="C338" i="1"/>
  <c r="B338" i="1"/>
  <c r="C337" i="1"/>
  <c r="B337" i="1"/>
  <c r="C336" i="1"/>
  <c r="B336" i="1"/>
  <c r="C335" i="1"/>
  <c r="B335" i="1"/>
  <c r="C334" i="1"/>
  <c r="B334" i="1"/>
  <c r="C333" i="1"/>
  <c r="B333" i="1"/>
  <c r="C332" i="1"/>
  <c r="B332" i="1"/>
  <c r="C331" i="1"/>
  <c r="B331" i="1"/>
  <c r="C330" i="1"/>
  <c r="B330" i="1"/>
  <c r="C329" i="1"/>
  <c r="B329" i="1"/>
  <c r="C328" i="1"/>
  <c r="B328" i="1"/>
  <c r="C327" i="1"/>
  <c r="B327" i="1"/>
  <c r="C326" i="1"/>
  <c r="B326" i="1"/>
  <c r="C325" i="1"/>
  <c r="B325" i="1"/>
  <c r="C324" i="1"/>
  <c r="B324" i="1"/>
  <c r="C323" i="1"/>
  <c r="B323" i="1"/>
  <c r="C322" i="1"/>
  <c r="B322" i="1"/>
  <c r="C321" i="1"/>
  <c r="B321" i="1"/>
  <c r="C320" i="1"/>
  <c r="B320" i="1"/>
  <c r="C319" i="1"/>
  <c r="B319" i="1"/>
  <c r="C318" i="1"/>
  <c r="B318" i="1"/>
  <c r="C317" i="1"/>
  <c r="B317" i="1"/>
  <c r="C316" i="1"/>
  <c r="B316" i="1"/>
  <c r="C315" i="1"/>
  <c r="B315" i="1"/>
  <c r="C314" i="1"/>
  <c r="B314" i="1"/>
  <c r="C313" i="1"/>
  <c r="B313" i="1"/>
  <c r="C312" i="1"/>
  <c r="B312" i="1"/>
  <c r="C311" i="1"/>
  <c r="B311" i="1"/>
  <c r="C310" i="1"/>
  <c r="B310" i="1"/>
  <c r="C309" i="1"/>
  <c r="B309" i="1"/>
  <c r="C308" i="1"/>
  <c r="B308" i="1"/>
  <c r="C307" i="1"/>
  <c r="B307" i="1"/>
  <c r="C306" i="1"/>
  <c r="B306" i="1"/>
  <c r="C305" i="1"/>
  <c r="B305" i="1"/>
  <c r="C304" i="1"/>
  <c r="B304" i="1"/>
  <c r="C303" i="1"/>
  <c r="B303" i="1"/>
  <c r="C302" i="1"/>
  <c r="B302" i="1"/>
  <c r="C301" i="1"/>
  <c r="B301" i="1"/>
  <c r="C300" i="1"/>
  <c r="B300" i="1"/>
  <c r="C299" i="1"/>
  <c r="B299" i="1"/>
  <c r="C298" i="1"/>
  <c r="B298" i="1"/>
  <c r="C297" i="1"/>
  <c r="B297" i="1"/>
  <c r="C296" i="1"/>
  <c r="B296" i="1"/>
  <c r="C295" i="1"/>
  <c r="B295" i="1"/>
  <c r="C294" i="1"/>
  <c r="B294" i="1"/>
  <c r="C293" i="1"/>
  <c r="B293" i="1"/>
  <c r="C292" i="1"/>
  <c r="B292" i="1"/>
  <c r="C291" i="1"/>
  <c r="B291" i="1"/>
  <c r="C290" i="1"/>
  <c r="B290" i="1"/>
  <c r="C289" i="1"/>
  <c r="B289" i="1"/>
  <c r="C288" i="1"/>
  <c r="B288" i="1"/>
  <c r="C287" i="1"/>
  <c r="B287" i="1"/>
  <c r="C286" i="1"/>
  <c r="B286" i="1"/>
  <c r="C285" i="1"/>
  <c r="B285" i="1"/>
  <c r="C284" i="1"/>
  <c r="B284" i="1"/>
  <c r="C283" i="1"/>
  <c r="B283" i="1"/>
  <c r="C282" i="1"/>
  <c r="B282" i="1"/>
  <c r="C281" i="1"/>
  <c r="B281" i="1"/>
  <c r="C280" i="1"/>
  <c r="B280" i="1"/>
  <c r="C279" i="1"/>
  <c r="B279" i="1"/>
  <c r="C278" i="1"/>
  <c r="B278" i="1"/>
  <c r="C277" i="1"/>
  <c r="B277" i="1"/>
  <c r="C276" i="1"/>
  <c r="B276" i="1"/>
  <c r="C275" i="1"/>
  <c r="B275" i="1"/>
  <c r="C274" i="1"/>
  <c r="B274" i="1"/>
  <c r="C273" i="1"/>
  <c r="B273" i="1"/>
  <c r="C272" i="1"/>
  <c r="B272" i="1"/>
  <c r="C271" i="1"/>
  <c r="B271" i="1"/>
  <c r="C270" i="1"/>
  <c r="B270" i="1"/>
  <c r="C269" i="1"/>
  <c r="B269" i="1"/>
  <c r="C268" i="1"/>
  <c r="B268" i="1"/>
  <c r="C267" i="1"/>
  <c r="B267" i="1"/>
  <c r="C266" i="1"/>
  <c r="B266" i="1"/>
  <c r="C265" i="1"/>
  <c r="B265" i="1"/>
  <c r="C264" i="1"/>
  <c r="B264" i="1"/>
  <c r="C263" i="1"/>
  <c r="B263" i="1"/>
  <c r="C262" i="1"/>
  <c r="B262" i="1"/>
  <c r="C261" i="1"/>
  <c r="B261" i="1"/>
  <c r="C260" i="1"/>
  <c r="B260" i="1"/>
  <c r="C259" i="1"/>
  <c r="B259" i="1"/>
  <c r="C258" i="1"/>
  <c r="B258" i="1"/>
  <c r="C257" i="1"/>
  <c r="B257" i="1"/>
  <c r="C256" i="1"/>
  <c r="B256" i="1"/>
  <c r="C255" i="1"/>
  <c r="B255" i="1"/>
  <c r="C254" i="1"/>
  <c r="B254" i="1"/>
  <c r="C253" i="1"/>
  <c r="B253" i="1"/>
  <c r="C252" i="1"/>
  <c r="B252" i="1"/>
  <c r="C251" i="1"/>
  <c r="B251" i="1"/>
  <c r="C250" i="1"/>
  <c r="B250" i="1"/>
  <c r="C249" i="1"/>
  <c r="B249" i="1"/>
  <c r="C248" i="1"/>
  <c r="B248" i="1"/>
  <c r="C247" i="1"/>
  <c r="B247" i="1"/>
  <c r="C246" i="1"/>
  <c r="B246" i="1"/>
  <c r="C245" i="1"/>
  <c r="B245" i="1"/>
  <c r="C244" i="1"/>
  <c r="B244" i="1"/>
  <c r="C243" i="1"/>
  <c r="B243" i="1"/>
  <c r="C242" i="1"/>
  <c r="B242" i="1"/>
  <c r="C241" i="1"/>
  <c r="B241" i="1"/>
  <c r="C240" i="1"/>
  <c r="B240" i="1"/>
  <c r="C239" i="1"/>
  <c r="B239" i="1"/>
  <c r="C238" i="1"/>
  <c r="B238" i="1"/>
  <c r="C237" i="1"/>
  <c r="B237" i="1"/>
  <c r="C236" i="1"/>
  <c r="B236" i="1"/>
  <c r="C235" i="1"/>
  <c r="B235" i="1"/>
  <c r="C234" i="1"/>
  <c r="B234" i="1"/>
  <c r="C233" i="1"/>
  <c r="B233" i="1"/>
  <c r="C232" i="1"/>
  <c r="B232" i="1"/>
  <c r="C231" i="1"/>
  <c r="B231" i="1"/>
  <c r="C230" i="1"/>
  <c r="B230" i="1"/>
  <c r="C229" i="1"/>
  <c r="B229" i="1"/>
  <c r="C228" i="1"/>
  <c r="B228" i="1"/>
  <c r="C227" i="1"/>
  <c r="B227" i="1"/>
  <c r="C226" i="1"/>
  <c r="B226" i="1"/>
  <c r="C225" i="1"/>
  <c r="B225" i="1"/>
  <c r="C224" i="1"/>
  <c r="B224" i="1"/>
  <c r="C223" i="1"/>
  <c r="B223" i="1"/>
  <c r="C222" i="1"/>
  <c r="B222" i="1"/>
  <c r="C221" i="1"/>
  <c r="B221" i="1"/>
  <c r="C220" i="1"/>
  <c r="B220" i="1"/>
  <c r="C219" i="1"/>
  <c r="B219" i="1"/>
  <c r="C218" i="1"/>
  <c r="B218" i="1"/>
  <c r="C217" i="1"/>
  <c r="B217" i="1"/>
  <c r="C216" i="1"/>
  <c r="B216" i="1"/>
  <c r="C215" i="1"/>
  <c r="B215" i="1"/>
  <c r="C214" i="1"/>
  <c r="B214" i="1"/>
  <c r="C213" i="1"/>
  <c r="B213" i="1"/>
  <c r="C212" i="1"/>
  <c r="B212" i="1"/>
  <c r="C211" i="1"/>
  <c r="B211" i="1"/>
  <c r="C210" i="1"/>
  <c r="B210" i="1"/>
  <c r="C209" i="1"/>
  <c r="B209" i="1"/>
  <c r="C208" i="1"/>
  <c r="B208" i="1"/>
  <c r="C207" i="1"/>
  <c r="B207" i="1"/>
  <c r="C206" i="1"/>
  <c r="B206" i="1"/>
  <c r="C205" i="1"/>
  <c r="B205" i="1"/>
  <c r="C204" i="1"/>
  <c r="B204" i="1"/>
  <c r="C203" i="1"/>
  <c r="B203" i="1"/>
  <c r="C202" i="1"/>
  <c r="B202" i="1"/>
  <c r="C201" i="1"/>
  <c r="B201" i="1"/>
  <c r="C200" i="1"/>
  <c r="B200" i="1"/>
  <c r="C199" i="1"/>
  <c r="B199" i="1"/>
  <c r="C198" i="1"/>
  <c r="B198" i="1"/>
  <c r="C197" i="1"/>
  <c r="B197" i="1"/>
  <c r="C196" i="1"/>
  <c r="B196" i="1"/>
  <c r="C195" i="1"/>
  <c r="B195" i="1"/>
  <c r="C194" i="1"/>
  <c r="B194" i="1"/>
  <c r="C193" i="1"/>
  <c r="B193" i="1"/>
  <c r="C192" i="1"/>
  <c r="B192" i="1"/>
  <c r="C191" i="1"/>
  <c r="B191" i="1"/>
  <c r="C190" i="1"/>
  <c r="B190" i="1"/>
  <c r="C189" i="1"/>
  <c r="B189" i="1"/>
  <c r="C188" i="1"/>
  <c r="B188" i="1"/>
  <c r="C187" i="1"/>
  <c r="B187" i="1"/>
  <c r="C186" i="1"/>
  <c r="B186" i="1"/>
  <c r="C185" i="1"/>
  <c r="B185" i="1"/>
  <c r="C184" i="1"/>
  <c r="B184" i="1"/>
  <c r="C183" i="1"/>
  <c r="B183" i="1"/>
  <c r="C182" i="1"/>
  <c r="B182" i="1"/>
  <c r="C181" i="1"/>
  <c r="B181" i="1"/>
  <c r="C180" i="1"/>
  <c r="B180" i="1"/>
  <c r="C179" i="1"/>
  <c r="B179" i="1"/>
  <c r="C178" i="1"/>
  <c r="B178" i="1"/>
  <c r="C177" i="1"/>
  <c r="B177" i="1"/>
  <c r="C176" i="1"/>
  <c r="B176" i="1"/>
  <c r="C175" i="1"/>
  <c r="B175" i="1"/>
  <c r="C174" i="1"/>
  <c r="B174" i="1"/>
  <c r="C173" i="1"/>
  <c r="B173" i="1"/>
  <c r="C172" i="1"/>
  <c r="B172" i="1"/>
  <c r="C171" i="1"/>
  <c r="B171" i="1"/>
  <c r="C170" i="1"/>
  <c r="B170" i="1"/>
  <c r="C169" i="1"/>
  <c r="B169" i="1"/>
  <c r="C168" i="1"/>
  <c r="B168" i="1"/>
  <c r="C167" i="1"/>
  <c r="B167" i="1"/>
  <c r="C166" i="1"/>
  <c r="B166" i="1"/>
  <c r="C165" i="1"/>
  <c r="B165" i="1"/>
  <c r="C164" i="1"/>
  <c r="B164" i="1"/>
  <c r="C163" i="1"/>
  <c r="B163" i="1"/>
  <c r="C162" i="1"/>
  <c r="B162" i="1"/>
  <c r="C161" i="1"/>
  <c r="B161" i="1"/>
  <c r="C160" i="1"/>
  <c r="B160" i="1"/>
  <c r="C159" i="1"/>
  <c r="B159" i="1"/>
  <c r="C158" i="1"/>
  <c r="B158" i="1"/>
  <c r="C157" i="1"/>
  <c r="B157" i="1"/>
  <c r="C156" i="1"/>
  <c r="B156" i="1"/>
  <c r="C155" i="1"/>
  <c r="B155" i="1"/>
  <c r="C154" i="1"/>
  <c r="B154" i="1"/>
  <c r="C153" i="1"/>
  <c r="B153" i="1"/>
  <c r="C152" i="1"/>
  <c r="B152" i="1"/>
  <c r="C151" i="1"/>
  <c r="B151" i="1"/>
  <c r="C150" i="1"/>
  <c r="B150" i="1"/>
  <c r="C149" i="1"/>
  <c r="B149" i="1"/>
  <c r="C148" i="1"/>
  <c r="B148" i="1"/>
  <c r="C147" i="1"/>
  <c r="B147" i="1"/>
  <c r="C146" i="1"/>
  <c r="B146" i="1"/>
  <c r="C145" i="1"/>
  <c r="B145" i="1"/>
  <c r="C144" i="1"/>
  <c r="B144" i="1"/>
  <c r="C143" i="1"/>
  <c r="B143" i="1"/>
  <c r="C142" i="1"/>
  <c r="B142" i="1"/>
  <c r="C141" i="1"/>
  <c r="B141" i="1"/>
  <c r="C140" i="1"/>
  <c r="B140" i="1"/>
  <c r="C139" i="1"/>
  <c r="B139" i="1"/>
  <c r="C138" i="1"/>
  <c r="B138" i="1"/>
  <c r="C137" i="1"/>
  <c r="B137" i="1"/>
  <c r="C136" i="1"/>
  <c r="B136" i="1"/>
  <c r="C135" i="1"/>
  <c r="B135" i="1"/>
  <c r="C134" i="1"/>
  <c r="B134" i="1"/>
  <c r="C133" i="1"/>
  <c r="B133" i="1"/>
  <c r="C132" i="1"/>
  <c r="B132" i="1"/>
  <c r="C131" i="1"/>
  <c r="B131" i="1"/>
  <c r="C130" i="1"/>
  <c r="B130" i="1"/>
  <c r="C129" i="1"/>
  <c r="B129" i="1"/>
  <c r="C128" i="1"/>
  <c r="B128" i="1"/>
  <c r="C127" i="1"/>
  <c r="B127" i="1"/>
  <c r="C126" i="1"/>
  <c r="B126" i="1"/>
  <c r="C125" i="1"/>
  <c r="B125" i="1"/>
  <c r="C124" i="1"/>
  <c r="B124" i="1"/>
  <c r="C123" i="1"/>
  <c r="B123" i="1"/>
  <c r="C122" i="1"/>
  <c r="B122" i="1"/>
  <c r="C121" i="1"/>
  <c r="B121" i="1"/>
  <c r="C120" i="1"/>
  <c r="B120" i="1"/>
  <c r="C119" i="1"/>
  <c r="B119" i="1"/>
  <c r="C118" i="1"/>
  <c r="B118" i="1"/>
  <c r="C117" i="1"/>
  <c r="B117" i="1"/>
  <c r="C116" i="1"/>
  <c r="B116" i="1"/>
  <c r="C115" i="1"/>
  <c r="B115" i="1"/>
  <c r="C114" i="1"/>
  <c r="B114" i="1"/>
  <c r="C113" i="1"/>
  <c r="B113" i="1"/>
  <c r="C112" i="1"/>
  <c r="B112" i="1"/>
  <c r="C111" i="1"/>
  <c r="B111" i="1"/>
  <c r="C110" i="1"/>
  <c r="B110" i="1"/>
  <c r="C109" i="1"/>
  <c r="B109" i="1"/>
  <c r="C108" i="1"/>
  <c r="B108" i="1"/>
  <c r="C107" i="1"/>
  <c r="B107" i="1"/>
  <c r="C106" i="1"/>
  <c r="B106" i="1"/>
  <c r="C105" i="1"/>
  <c r="B105" i="1"/>
  <c r="C104" i="1"/>
  <c r="B104" i="1"/>
  <c r="C103" i="1"/>
  <c r="B103" i="1"/>
  <c r="C102" i="1"/>
  <c r="B102" i="1"/>
  <c r="C101" i="1"/>
  <c r="B101" i="1"/>
  <c r="C100" i="1"/>
  <c r="B100" i="1"/>
  <c r="C99" i="1"/>
  <c r="B99" i="1"/>
  <c r="C98" i="1"/>
  <c r="B98" i="1"/>
  <c r="C97" i="1"/>
  <c r="B97" i="1"/>
  <c r="C96" i="1"/>
  <c r="B96" i="1"/>
  <c r="C95" i="1"/>
  <c r="B95" i="1"/>
  <c r="C94" i="1"/>
  <c r="B94" i="1"/>
  <c r="C93" i="1"/>
  <c r="B93" i="1"/>
  <c r="C92" i="1"/>
  <c r="B92" i="1"/>
  <c r="C91" i="1"/>
  <c r="B91" i="1"/>
  <c r="C90" i="1"/>
  <c r="B90" i="1"/>
  <c r="C89" i="1"/>
  <c r="B89" i="1"/>
  <c r="C88" i="1"/>
  <c r="B88" i="1"/>
  <c r="C87" i="1"/>
  <c r="B87" i="1"/>
  <c r="C86" i="1"/>
  <c r="B86" i="1"/>
  <c r="C85" i="1"/>
  <c r="B85" i="1"/>
  <c r="C84" i="1"/>
  <c r="B84" i="1"/>
  <c r="C83" i="1"/>
  <c r="B83" i="1"/>
  <c r="C82" i="1"/>
  <c r="B82" i="1"/>
  <c r="C81" i="1"/>
  <c r="B81" i="1"/>
  <c r="C80" i="1"/>
  <c r="B80" i="1"/>
  <c r="C79" i="1"/>
  <c r="B79" i="1"/>
  <c r="C78" i="1"/>
  <c r="B78" i="1"/>
  <c r="C77" i="1"/>
  <c r="B77" i="1"/>
  <c r="C76" i="1"/>
  <c r="B76" i="1"/>
  <c r="C75" i="1"/>
  <c r="B75" i="1"/>
  <c r="C74" i="1"/>
  <c r="B74" i="1"/>
  <c r="C73" i="1"/>
  <c r="B73" i="1"/>
  <c r="C72" i="1"/>
  <c r="B72" i="1"/>
  <c r="C71" i="1"/>
  <c r="B71" i="1"/>
  <c r="C70" i="1"/>
  <c r="B70" i="1"/>
  <c r="C69" i="1"/>
  <c r="B69" i="1"/>
  <c r="C68" i="1"/>
  <c r="B68" i="1"/>
  <c r="C67" i="1"/>
  <c r="B67" i="1"/>
  <c r="C66" i="1"/>
  <c r="B66" i="1"/>
  <c r="C65" i="1"/>
  <c r="B65" i="1"/>
  <c r="C64" i="1"/>
  <c r="B64" i="1"/>
  <c r="C63" i="1"/>
  <c r="B63" i="1"/>
  <c r="C62" i="1"/>
  <c r="B62" i="1"/>
  <c r="C61" i="1"/>
  <c r="B61" i="1"/>
  <c r="C60" i="1"/>
  <c r="B60" i="1"/>
  <c r="C59" i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N2" i="1" a="1"/>
  <c r="C2" i="1"/>
  <c r="B2" i="1"/>
  <c r="O22" i="1" l="1"/>
  <c r="P19" i="1"/>
  <c r="S17" i="1"/>
  <c r="R13" i="1"/>
  <c r="S10" i="1"/>
  <c r="O8" i="1"/>
  <c r="Q7" i="1"/>
  <c r="R5" i="1"/>
  <c r="S22" i="1"/>
  <c r="R21" i="1"/>
  <c r="Q19" i="1"/>
  <c r="R18" i="1"/>
  <c r="P17" i="1"/>
  <c r="R16" i="1"/>
  <c r="Q15" i="1"/>
  <c r="Q14" i="1"/>
  <c r="S13" i="1"/>
  <c r="P13" i="1"/>
  <c r="P10" i="1"/>
  <c r="P9" i="1"/>
  <c r="Q8" i="1"/>
  <c r="P6" i="1"/>
  <c r="O5" i="1"/>
  <c r="Q4" i="1"/>
  <c r="Q3" i="1"/>
  <c r="Q22" i="1"/>
  <c r="S21" i="1"/>
  <c r="O21" i="1"/>
  <c r="Q18" i="1"/>
  <c r="P15" i="1"/>
  <c r="S14" i="1"/>
  <c r="P14" i="1"/>
  <c r="R12" i="1"/>
  <c r="R11" i="1"/>
  <c r="O9" i="1"/>
  <c r="R8" i="1"/>
  <c r="R7" i="1"/>
  <c r="R3" i="1"/>
  <c r="Q23" i="1"/>
  <c r="Q20" i="1"/>
  <c r="S16" i="1"/>
  <c r="O15" i="1"/>
  <c r="O13" i="1"/>
  <c r="R10" i="1"/>
  <c r="S8" i="1"/>
  <c r="Q6" i="1"/>
  <c r="P5" i="1"/>
  <c r="P3" i="1"/>
  <c r="R23" i="1"/>
  <c r="S19" i="1"/>
  <c r="S12" i="1"/>
  <c r="P12" i="1"/>
  <c r="O11" i="1"/>
  <c r="R9" i="1"/>
  <c r="S6" i="1"/>
  <c r="S4" i="1"/>
  <c r="S23" i="1"/>
  <c r="R20" i="1"/>
  <c r="R19" i="1"/>
  <c r="R17" i="1"/>
  <c r="O14" i="1"/>
  <c r="O12" i="1"/>
  <c r="P11" i="1"/>
  <c r="O10" i="1"/>
  <c r="R6" i="1"/>
  <c r="P23" i="1"/>
  <c r="P21" i="1"/>
  <c r="O16" i="1"/>
  <c r="R14" i="1"/>
  <c r="R4" i="1"/>
  <c r="S3" i="1"/>
  <c r="O23" i="1"/>
  <c r="Q21" i="1"/>
  <c r="O18" i="1"/>
  <c r="P16" i="1"/>
  <c r="S15" i="1"/>
  <c r="Q13" i="1"/>
  <c r="Q12" i="1"/>
  <c r="Q11" i="1"/>
  <c r="Q9" i="1"/>
  <c r="P7" i="1"/>
  <c r="Q5" i="1"/>
  <c r="P4" i="1"/>
  <c r="O3" i="1"/>
  <c r="P22" i="1"/>
  <c r="P20" i="1"/>
  <c r="P18" i="1"/>
  <c r="Q17" i="1"/>
  <c r="R15" i="1"/>
  <c r="P8" i="1"/>
  <c r="O7" i="1"/>
  <c r="S5" i="1"/>
  <c r="O4" i="1"/>
  <c r="N2" i="1"/>
  <c r="R22" i="1"/>
  <c r="S20" i="1"/>
  <c r="O20" i="1"/>
  <c r="O19" i="1"/>
  <c r="S18" i="1"/>
  <c r="O17" i="1"/>
  <c r="Q16" i="1"/>
  <c r="S11" i="1"/>
  <c r="Q10" i="1"/>
  <c r="S9" i="1"/>
  <c r="S7" i="1"/>
  <c r="O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<sst xmlns="http://schemas.openxmlformats.org/spreadsheetml/2006/main" count="11551" uniqueCount="14">
  <si>
    <t>Primary Country [**]</t>
  </si>
  <si>
    <t>Approved Document Name</t>
  </si>
  <si>
    <t>Sent Email Name</t>
  </si>
  <si>
    <t>Last Open</t>
  </si>
  <si>
    <t>Opened</t>
  </si>
  <si>
    <t>Total Opens</t>
  </si>
  <si>
    <t>Clicked</t>
  </si>
  <si>
    <t>Last Click</t>
  </si>
  <si>
    <t>Total Clicks</t>
  </si>
  <si>
    <t>Sent Date</t>
  </si>
  <si>
    <t>FR</t>
  </si>
  <si>
    <t/>
  </si>
  <si>
    <t>Sent</t>
  </si>
  <si>
    <t>Brand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</si>
</sst>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b/>
      <sz val="11"/>
      <name val="Calibri"/>
      <family val="2"/>
    </font>
    <font>
      <u/>
      <sz val="11"/>
      <color indexed="12"/>
      <name val="Calibri"/>
      <family val="2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/>
    </xf>
    <xf numFmtId="0" fontId="2" fillId="0" borderId="0" xfId="0" applyFont="1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2664A-E4E4-CF40-8FFD-4A4AFF90C258}">
  <dimension ref="A1:T4373"/>
  <sheetViews>
    <sheetView tabSelected="1" zoomScale="70" zoomScaleNormal="70" workbookViewId="0">
      <selection activeCell="T2" sqref="T2"/>
    </sheetView>
  </sheetViews>
  <sheetFormatPr baseColWidth="10" defaultColWidth="8.83203125" defaultRowHeight="15" x14ac:dyDescent="0.2"/>
  <cols>
    <col min="1" max="1" width="19.83203125" customWidth="1"/>
    <col min="2" max="2" width="56.33203125" customWidth="1"/>
    <col min="3" max="3" width="21" customWidth="1"/>
    <col min="4" max="4" width="20.5" customWidth="1"/>
    <col min="6" max="6" width="15.5" customWidth="1"/>
    <col min="9" max="9" width="15.5" customWidth="1"/>
    <col min="10" max="10" width="21.1640625" customWidth="1"/>
    <col min="14" max="14" width="79.1640625" bestFit="1" customWidth="1"/>
  </cols>
  <sheetData>
    <row r="1" spans="1:20" ht="16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20" ht="32" x14ac:dyDescent="0.2">
      <c r="A2" s="2" t="s">
        <v>10</v>
      </c>
      <c r="B2" s="3" t="str">
        <f t="shared" ref="B2:B41" si="0">HYPERLINK("https://otsuka-europe-crm.veevavault.com/ui/#object/approved_document__v/V5OZ025E82N4GFX", "E-mail - Remis - Changement de traitement antipsychotique")</f>
        <v>E-mail - Remis - Changement de traitement antipsychotique</v>
      </c>
      <c r="C2" s="3" t="str">
        <f>HYPERLINK("https://otsuka-europe-crm.veevavault.com/ui/#object/sent_email__v/VBLZ025E82GEBGT", "SE-000255216")</f>
        <v>SE-000255216</v>
      </c>
      <c r="D2" s="4" t="s">
        <v>11</v>
      </c>
      <c r="E2" s="5">
        <v>0</v>
      </c>
      <c r="F2" s="5">
        <v>0</v>
      </c>
      <c r="G2" s="5">
        <v>0</v>
      </c>
      <c r="H2" s="4" t="s">
        <v>11</v>
      </c>
      <c r="I2" s="5">
        <v>0</v>
      </c>
      <c r="J2" s="4">
        <v>45903.603576388887</v>
      </c>
      <c r="N2" s="6" t="str" cm="1">
        <f t="array" ref="N2:N24">_xlfn.UNIQUE(B:B)</f>
        <v>Approved Document Name</v>
      </c>
      <c r="O2" s="7" t="s">
        <v>4</v>
      </c>
      <c r="P2" s="7" t="s">
        <v>5</v>
      </c>
      <c r="Q2" s="7" t="s">
        <v>6</v>
      </c>
      <c r="R2" s="7" t="s">
        <v>8</v>
      </c>
      <c r="S2" s="7" t="s">
        <v>12</v>
      </c>
      <c r="T2" s="7" t="s">
        <v>13</v>
      </c>
    </row>
    <row r="3" spans="1:20" x14ac:dyDescent="0.2">
      <c r="A3" s="2" t="s">
        <v>10</v>
      </c>
      <c r="B3" s="3" t="str">
        <f t="shared" si="0"/>
        <v>E-mail - Remis - Changement de traitement antipsychotique</v>
      </c>
      <c r="C3" s="3" t="str">
        <f>HYPERLINK("https://otsuka-europe-crm.veevavault.com/ui/#object/sent_email__v/VBLZ025E82GEBP5", "SE-000255218")</f>
        <v>SE-000255218</v>
      </c>
      <c r="D3" s="4">
        <v>45904.485798611109</v>
      </c>
      <c r="E3" s="5">
        <v>1</v>
      </c>
      <c r="F3" s="5">
        <v>1</v>
      </c>
      <c r="G3" s="5">
        <v>0</v>
      </c>
      <c r="H3" s="4" t="s">
        <v>11</v>
      </c>
      <c r="I3" s="5">
        <v>0</v>
      </c>
      <c r="J3" s="4">
        <v>45903.604178240741</v>
      </c>
      <c r="N3" t="str">
        <v>E-mail - Remis - Changement de traitement antipsychotique</v>
      </c>
      <c r="O3">
        <f>SUMIF($B:$B,$N3,$E:$E)</f>
        <v>17</v>
      </c>
      <c r="P3">
        <f>SUMIF($B:$B,$N3,$F:$F)</f>
        <v>37</v>
      </c>
      <c r="Q3">
        <f>SUMIF($B:$B,$N3,$G:$G)</f>
        <v>7</v>
      </c>
      <c r="R3">
        <f>SUMIF($B:$B,$N3,$I:$I)</f>
        <v>7</v>
      </c>
      <c r="S3">
        <f>COUNTIF($B:$B,$N3)</f>
        <v>40</v>
      </c>
    </row>
    <row r="4" spans="1:20" x14ac:dyDescent="0.2">
      <c r="A4" s="2" t="s">
        <v>10</v>
      </c>
      <c r="B4" s="3" t="str">
        <f t="shared" si="0"/>
        <v>E-mail - Remis - Changement de traitement antipsychotique</v>
      </c>
      <c r="C4" s="3" t="str">
        <f>HYPERLINK("https://otsuka-europe-crm.veevavault.com/ui/#object/sent_email__v/VBLZ025E82GFT8X", "SE-000255412")</f>
        <v>SE-000255412</v>
      </c>
      <c r="D4" s="4">
        <v>45909.65252314815</v>
      </c>
      <c r="E4" s="5">
        <v>1</v>
      </c>
      <c r="F4" s="5">
        <v>3</v>
      </c>
      <c r="G4" s="5">
        <v>1</v>
      </c>
      <c r="H4" s="4">
        <v>45909.65184027778</v>
      </c>
      <c r="I4" s="5">
        <v>1</v>
      </c>
      <c r="J4" s="4">
        <v>45904.741215277776</v>
      </c>
      <c r="N4" t="str">
        <v>Email à fragment trajectoires schizophrénies - FR-CNS-2400018</v>
      </c>
      <c r="O4">
        <f t="shared" ref="O4:O23" si="1">SUMIF($B:$B,$N4,$E:$E)</f>
        <v>6</v>
      </c>
      <c r="P4">
        <f t="shared" ref="P4:P23" si="2">SUMIF($B:$B,$N4,$F:$F)</f>
        <v>9</v>
      </c>
      <c r="Q4">
        <f t="shared" ref="Q4:Q23" si="3">SUMIF($B:$B,$N4,$G:$G)</f>
        <v>0</v>
      </c>
      <c r="R4">
        <f t="shared" ref="R4:R23" si="4">SUMIF($B:$B,$N4,$I:$I)</f>
        <v>0</v>
      </c>
      <c r="S4">
        <f t="shared" ref="S4:S23" si="5">COUNTIF($B:$B,$N4)</f>
        <v>13</v>
      </c>
    </row>
    <row r="5" spans="1:20" x14ac:dyDescent="0.2">
      <c r="A5" s="2" t="s">
        <v>10</v>
      </c>
      <c r="B5" s="3" t="str">
        <f t="shared" si="0"/>
        <v>E-mail - Remis - Changement de traitement antipsychotique</v>
      </c>
      <c r="C5" s="3" t="str">
        <f>HYPERLINK("https://otsuka-europe-crm.veevavault.com/ui/#object/sent_email__v/VBLZ025E82GFT8Y", "SE-000255413")</f>
        <v>SE-000255413</v>
      </c>
      <c r="D5" s="4">
        <v>45911.575555555559</v>
      </c>
      <c r="E5" s="5">
        <v>1</v>
      </c>
      <c r="F5" s="5">
        <v>2</v>
      </c>
      <c r="G5" s="5">
        <v>0</v>
      </c>
      <c r="H5" s="4" t="s">
        <v>11</v>
      </c>
      <c r="I5" s="5">
        <v>0</v>
      </c>
      <c r="J5" s="4">
        <v>45904.741215277776</v>
      </c>
      <c r="N5" t="str">
        <v>Email Abilify Maintena 960 mg En pratique_FR-AM2-2400045</v>
      </c>
      <c r="O5">
        <f t="shared" si="1"/>
        <v>85</v>
      </c>
      <c r="P5">
        <f t="shared" si="2"/>
        <v>209</v>
      </c>
      <c r="Q5">
        <f t="shared" si="3"/>
        <v>5</v>
      </c>
      <c r="R5">
        <f t="shared" si="4"/>
        <v>10</v>
      </c>
      <c r="S5">
        <f t="shared" si="5"/>
        <v>270</v>
      </c>
    </row>
    <row r="6" spans="1:20" x14ac:dyDescent="0.2">
      <c r="A6" s="2" t="s">
        <v>10</v>
      </c>
      <c r="B6" s="3" t="str">
        <f t="shared" si="0"/>
        <v>E-mail - Remis - Changement de traitement antipsychotique</v>
      </c>
      <c r="C6" s="3" t="str">
        <f>HYPERLINK("https://otsuka-europe-crm.veevavault.com/ui/#object/sent_email__v/VBLZ025E82GFTBP", "SE-000255414")</f>
        <v>SE-000255414</v>
      </c>
      <c r="D6" s="4">
        <v>45913.90625</v>
      </c>
      <c r="E6" s="5">
        <v>1</v>
      </c>
      <c r="F6" s="5">
        <v>1</v>
      </c>
      <c r="G6" s="5">
        <v>1</v>
      </c>
      <c r="H6" s="4">
        <v>45913.906307870369</v>
      </c>
      <c r="I6" s="5">
        <v>1</v>
      </c>
      <c r="J6" s="4">
        <v>45904.742361111108</v>
      </c>
      <c r="N6" t="str">
        <v>E-Mail de remerciements Perspectives-Septembre 2025 - Environnement - FR-CNS-2500025</v>
      </c>
      <c r="O6">
        <f t="shared" si="1"/>
        <v>16</v>
      </c>
      <c r="P6">
        <f t="shared" si="2"/>
        <v>46</v>
      </c>
      <c r="Q6">
        <f t="shared" si="3"/>
        <v>4</v>
      </c>
      <c r="R6">
        <f t="shared" si="4"/>
        <v>5</v>
      </c>
      <c r="S6">
        <f t="shared" si="5"/>
        <v>40</v>
      </c>
    </row>
    <row r="7" spans="1:20" x14ac:dyDescent="0.2">
      <c r="A7" s="2" t="s">
        <v>10</v>
      </c>
      <c r="B7" s="3" t="str">
        <f t="shared" si="0"/>
        <v>E-mail - Remis - Changement de traitement antipsychotique</v>
      </c>
      <c r="C7" s="3" t="str">
        <f>HYPERLINK("https://otsuka-europe-crm.veevavault.com/ui/#object/sent_email__v/VBLZ025E82GFTBQ", "SE-000255415")</f>
        <v>SE-000255415</v>
      </c>
      <c r="D7" s="4" t="s">
        <v>11</v>
      </c>
      <c r="E7" s="5">
        <v>0</v>
      </c>
      <c r="F7" s="5">
        <v>0</v>
      </c>
      <c r="G7" s="5">
        <v>0</v>
      </c>
      <c r="H7" s="4" t="s">
        <v>11</v>
      </c>
      <c r="I7" s="5">
        <v>0</v>
      </c>
      <c r="J7" s="4">
        <v>45904.742361111108</v>
      </c>
      <c r="N7" t="str">
        <v>Email instauration Abilify Maintena 960 mg_FR-AM2-2400029</v>
      </c>
      <c r="O7">
        <f t="shared" si="1"/>
        <v>240</v>
      </c>
      <c r="P7">
        <f t="shared" si="2"/>
        <v>638</v>
      </c>
      <c r="Q7">
        <f t="shared" si="3"/>
        <v>7</v>
      </c>
      <c r="R7">
        <f t="shared" si="4"/>
        <v>21</v>
      </c>
      <c r="S7">
        <f t="shared" si="5"/>
        <v>642</v>
      </c>
    </row>
    <row r="8" spans="1:20" x14ac:dyDescent="0.2">
      <c r="A8" s="2" t="s">
        <v>10</v>
      </c>
      <c r="B8" s="3" t="str">
        <f t="shared" si="0"/>
        <v>E-mail - Remis - Changement de traitement antipsychotique</v>
      </c>
      <c r="C8" s="3" t="str">
        <f>HYPERLINK("https://otsuka-europe-crm.veevavault.com/ui/#object/sent_email__v/VBLZ025E82GI3F9", "SE-000255557")</f>
        <v>SE-000255557</v>
      </c>
      <c r="D8" s="4" t="s">
        <v>11</v>
      </c>
      <c r="E8" s="5">
        <v>0</v>
      </c>
      <c r="F8" s="5">
        <v>0</v>
      </c>
      <c r="G8" s="5">
        <v>0</v>
      </c>
      <c r="H8" s="4" t="s">
        <v>11</v>
      </c>
      <c r="I8" s="5">
        <v>0</v>
      </c>
      <c r="J8" s="4">
        <v>45908.712361111109</v>
      </c>
      <c r="N8" t="str">
        <v>Emailing Abilify 960 mg fragments
FR-AM2-2400044</v>
      </c>
      <c r="O8">
        <f t="shared" si="1"/>
        <v>40</v>
      </c>
      <c r="P8">
        <f t="shared" si="2"/>
        <v>114</v>
      </c>
      <c r="Q8">
        <f t="shared" si="3"/>
        <v>8</v>
      </c>
      <c r="R8">
        <f t="shared" si="4"/>
        <v>24</v>
      </c>
      <c r="S8">
        <f t="shared" si="5"/>
        <v>94</v>
      </c>
    </row>
    <row r="9" spans="1:20" x14ac:dyDescent="0.2">
      <c r="A9" s="2" t="s">
        <v>10</v>
      </c>
      <c r="B9" s="3" t="str">
        <f t="shared" si="0"/>
        <v>E-mail - Remis - Changement de traitement antipsychotique</v>
      </c>
      <c r="C9" s="3" t="str">
        <f>HYPERLINK("https://otsuka-europe-crm.veevavault.com/ui/#object/sent_email__v/VBLZ025E82GJ0G6", "SE-000255637")</f>
        <v>SE-000255637</v>
      </c>
      <c r="D9" s="4" t="s">
        <v>11</v>
      </c>
      <c r="E9" s="5">
        <v>0</v>
      </c>
      <c r="F9" s="5">
        <v>0</v>
      </c>
      <c r="G9" s="5">
        <v>0</v>
      </c>
      <c r="H9" s="4" t="s">
        <v>11</v>
      </c>
      <c r="I9" s="5">
        <v>0</v>
      </c>
      <c r="J9" s="4">
        <v>45909.624363425923</v>
      </c>
      <c r="N9" t="str">
        <v>Emailing Brochures aidants et patients</v>
      </c>
      <c r="O9">
        <f t="shared" si="1"/>
        <v>46</v>
      </c>
      <c r="P9">
        <f t="shared" si="2"/>
        <v>219</v>
      </c>
      <c r="Q9">
        <f t="shared" si="3"/>
        <v>9</v>
      </c>
      <c r="R9">
        <f t="shared" si="4"/>
        <v>29</v>
      </c>
      <c r="S9">
        <f t="shared" si="5"/>
        <v>97</v>
      </c>
    </row>
    <row r="10" spans="1:20" x14ac:dyDescent="0.2">
      <c r="A10" s="2" t="s">
        <v>10</v>
      </c>
      <c r="B10" s="3" t="str">
        <f t="shared" si="0"/>
        <v>E-mail - Remis - Changement de traitement antipsychotique</v>
      </c>
      <c r="C10" s="3" t="str">
        <f>HYPERLINK("https://otsuka-europe-crm.veevavault.com/ui/#object/sent_email__v/VBLZ025E82GJ0U1", "SE-000255638")</f>
        <v>SE-000255638</v>
      </c>
      <c r="D10" s="4" t="s">
        <v>11</v>
      </c>
      <c r="E10" s="5">
        <v>0</v>
      </c>
      <c r="F10" s="5">
        <v>0</v>
      </c>
      <c r="G10" s="5">
        <v>0</v>
      </c>
      <c r="H10" s="4" t="s">
        <v>11</v>
      </c>
      <c r="I10" s="5">
        <v>0</v>
      </c>
      <c r="J10" s="4">
        <v>45909.624675925923</v>
      </c>
      <c r="N10" t="str">
        <v>FR Veeva Double Opt-In Approved Email Receipt v3</v>
      </c>
      <c r="O10">
        <f t="shared" si="1"/>
        <v>3</v>
      </c>
      <c r="P10">
        <f t="shared" si="2"/>
        <v>4</v>
      </c>
      <c r="Q10">
        <f t="shared" si="3"/>
        <v>2</v>
      </c>
      <c r="R10">
        <f t="shared" si="4"/>
        <v>12</v>
      </c>
      <c r="S10">
        <f t="shared" si="5"/>
        <v>6</v>
      </c>
    </row>
    <row r="11" spans="1:20" x14ac:dyDescent="0.2">
      <c r="A11" s="2" t="s">
        <v>10</v>
      </c>
      <c r="B11" s="3" t="str">
        <f t="shared" si="0"/>
        <v>E-mail - Remis - Changement de traitement antipsychotique</v>
      </c>
      <c r="C11" s="3" t="str">
        <f>HYPERLINK("https://otsuka-europe-crm.veevavault.com/ui/#object/sent_email__v/VBLZ025E82GJX8P", "SE-000255700")</f>
        <v>SE-000255700</v>
      </c>
      <c r="D11" s="4">
        <v>45910.571261574078</v>
      </c>
      <c r="E11" s="5">
        <v>1</v>
      </c>
      <c r="F11" s="5">
        <v>1</v>
      </c>
      <c r="G11" s="5">
        <v>0</v>
      </c>
      <c r="H11" s="4" t="s">
        <v>11</v>
      </c>
      <c r="I11" s="5">
        <v>0</v>
      </c>
      <c r="J11" s="4">
        <v>45910.566076388888</v>
      </c>
      <c r="N11" t="str">
        <v>FR Veeva Double Opt-In Remote Meetings Email Receipt v3</v>
      </c>
      <c r="O11">
        <f t="shared" si="1"/>
        <v>5</v>
      </c>
      <c r="P11">
        <f t="shared" si="2"/>
        <v>6</v>
      </c>
      <c r="Q11">
        <f t="shared" si="3"/>
        <v>1</v>
      </c>
      <c r="R11">
        <f t="shared" si="4"/>
        <v>1</v>
      </c>
      <c r="S11">
        <f t="shared" si="5"/>
        <v>8</v>
      </c>
    </row>
    <row r="12" spans="1:20" x14ac:dyDescent="0.2">
      <c r="A12" s="2" t="s">
        <v>10</v>
      </c>
      <c r="B12" s="3" t="str">
        <f t="shared" si="0"/>
        <v>E-mail - Remis - Changement de traitement antipsychotique</v>
      </c>
      <c r="C12" s="3" t="str">
        <f>HYPERLINK("https://otsuka-europe-crm.veevavault.com/ui/#object/sent_email__v/VBLZ025E82GPTZ1", "SE-000275682")</f>
        <v>SE-000275682</v>
      </c>
      <c r="D12" s="4" t="s">
        <v>11</v>
      </c>
      <c r="E12" s="5">
        <v>0</v>
      </c>
      <c r="F12" s="5">
        <v>0</v>
      </c>
      <c r="G12" s="5">
        <v>0</v>
      </c>
      <c r="H12" s="4" t="s">
        <v>11</v>
      </c>
      <c r="I12" s="5">
        <v>0</v>
      </c>
      <c r="J12" s="4">
        <v>45916.586168981485</v>
      </c>
      <c r="N12" t="str">
        <v>FR Veeva Medical Inquiry Email Receipt v2</v>
      </c>
      <c r="O12">
        <f t="shared" si="1"/>
        <v>0</v>
      </c>
      <c r="P12">
        <f t="shared" si="2"/>
        <v>0</v>
      </c>
      <c r="Q12">
        <f t="shared" si="3"/>
        <v>0</v>
      </c>
      <c r="R12">
        <f t="shared" si="4"/>
        <v>0</v>
      </c>
      <c r="S12">
        <f t="shared" si="5"/>
        <v>1</v>
      </c>
    </row>
    <row r="13" spans="1:20" x14ac:dyDescent="0.2">
      <c r="A13" s="2" t="s">
        <v>10</v>
      </c>
      <c r="B13" s="3" t="str">
        <f t="shared" si="0"/>
        <v>E-mail - Remis - Changement de traitement antipsychotique</v>
      </c>
      <c r="C13" s="3" t="str">
        <f>HYPERLINK("https://otsuka-europe-crm.veevavault.com/ui/#object/sent_email__v/VBLZ025E82GXET9", "SE-000280181")</f>
        <v>SE-000280181</v>
      </c>
      <c r="D13" s="4">
        <v>45923.604699074072</v>
      </c>
      <c r="E13" s="5">
        <v>1</v>
      </c>
      <c r="F13" s="5">
        <v>1</v>
      </c>
      <c r="G13" s="5">
        <v>0</v>
      </c>
      <c r="H13" s="4" t="s">
        <v>11</v>
      </c>
      <c r="I13" s="5">
        <v>0</v>
      </c>
      <c r="J13" s="4">
        <v>45923.545601851853</v>
      </c>
      <c r="N13" t="str">
        <v>FR-AM2-2500027</v>
      </c>
      <c r="O13">
        <f t="shared" si="1"/>
        <v>2</v>
      </c>
      <c r="P13">
        <f t="shared" si="2"/>
        <v>3</v>
      </c>
      <c r="Q13">
        <f t="shared" si="3"/>
        <v>0</v>
      </c>
      <c r="R13">
        <f t="shared" si="4"/>
        <v>0</v>
      </c>
      <c r="S13">
        <f t="shared" si="5"/>
        <v>4</v>
      </c>
    </row>
    <row r="14" spans="1:20" x14ac:dyDescent="0.2">
      <c r="A14" s="2" t="s">
        <v>10</v>
      </c>
      <c r="B14" s="3" t="str">
        <f t="shared" si="0"/>
        <v>E-mail - Remis - Changement de traitement antipsychotique</v>
      </c>
      <c r="C14" s="3" t="str">
        <f>HYPERLINK("https://otsuka-europe-crm.veevavault.com/ui/#object/sent_email__v/VBLZ025E82GXNX2", "SE-000280233")</f>
        <v>SE-000280233</v>
      </c>
      <c r="D14" s="4">
        <v>45986.483854166669</v>
      </c>
      <c r="E14" s="5">
        <v>1</v>
      </c>
      <c r="F14" s="5">
        <v>6</v>
      </c>
      <c r="G14" s="5">
        <v>1</v>
      </c>
      <c r="H14" s="4">
        <v>45923.669189814813</v>
      </c>
      <c r="I14" s="5">
        <v>1</v>
      </c>
      <c r="J14" s="4">
        <v>45923.63894675926</v>
      </c>
      <c r="N14" t="str">
        <v>France - HCP Survey Email - June 2025</v>
      </c>
      <c r="O14">
        <f t="shared" si="1"/>
        <v>569</v>
      </c>
      <c r="P14">
        <f t="shared" si="2"/>
        <v>891</v>
      </c>
      <c r="Q14">
        <f t="shared" si="3"/>
        <v>153</v>
      </c>
      <c r="R14">
        <f t="shared" si="4"/>
        <v>211</v>
      </c>
      <c r="S14">
        <f t="shared" si="5"/>
        <v>2493</v>
      </c>
    </row>
    <row r="15" spans="1:20" x14ac:dyDescent="0.2">
      <c r="A15" s="2" t="s">
        <v>10</v>
      </c>
      <c r="B15" s="3" t="str">
        <f t="shared" si="0"/>
        <v>E-mail - Remis - Changement de traitement antipsychotique</v>
      </c>
      <c r="C15" s="3" t="str">
        <f>HYPERLINK("https://otsuka-europe-crm.veevavault.com/ui/#object/sent_email__v/VBLZ025E82HHJKX", "SE-000286521")</f>
        <v>SE-000286521</v>
      </c>
      <c r="D15" s="4" t="s">
        <v>11</v>
      </c>
      <c r="E15" s="5">
        <v>0</v>
      </c>
      <c r="F15" s="5">
        <v>0</v>
      </c>
      <c r="G15" s="5">
        <v>0</v>
      </c>
      <c r="H15" s="4" t="s">
        <v>11</v>
      </c>
      <c r="I15" s="5">
        <v>0</v>
      </c>
      <c r="J15" s="4">
        <v>45940.53266203704</v>
      </c>
      <c r="N15" t="str">
        <v>France - Opt In Email Aug 25</v>
      </c>
      <c r="O15">
        <f t="shared" si="1"/>
        <v>5</v>
      </c>
      <c r="P15">
        <f t="shared" si="2"/>
        <v>9</v>
      </c>
      <c r="Q15">
        <f t="shared" si="3"/>
        <v>0</v>
      </c>
      <c r="R15">
        <f t="shared" si="4"/>
        <v>0</v>
      </c>
      <c r="S15">
        <f t="shared" si="5"/>
        <v>8</v>
      </c>
    </row>
    <row r="16" spans="1:20" x14ac:dyDescent="0.2">
      <c r="A16" s="2" t="s">
        <v>10</v>
      </c>
      <c r="B16" s="3" t="str">
        <f t="shared" si="0"/>
        <v>E-mail - Remis - Changement de traitement antipsychotique</v>
      </c>
      <c r="C16" s="3" t="str">
        <f>HYPERLINK("https://otsuka-europe-crm.veevavault.com/ui/#object/sent_email__v/VBLZ025E82HIRVD", "SE-000286797")</f>
        <v>SE-000286797</v>
      </c>
      <c r="D16" s="4" t="s">
        <v>11</v>
      </c>
      <c r="E16" s="5">
        <v>0</v>
      </c>
      <c r="F16" s="5">
        <v>0</v>
      </c>
      <c r="G16" s="5">
        <v>0</v>
      </c>
      <c r="H16" s="4" t="s">
        <v>11</v>
      </c>
      <c r="I16" s="5">
        <v>0</v>
      </c>
      <c r="J16" s="4">
        <v>45943.485902777778</v>
      </c>
      <c r="N16" t="str">
        <v>France - Opt In Email Aug 25 v2</v>
      </c>
      <c r="O16">
        <f t="shared" si="1"/>
        <v>14</v>
      </c>
      <c r="P16">
        <f t="shared" si="2"/>
        <v>18</v>
      </c>
      <c r="Q16">
        <f t="shared" si="3"/>
        <v>14</v>
      </c>
      <c r="R16">
        <f t="shared" si="4"/>
        <v>22</v>
      </c>
      <c r="S16">
        <f t="shared" si="5"/>
        <v>29</v>
      </c>
    </row>
    <row r="17" spans="1:19" x14ac:dyDescent="0.2">
      <c r="A17" s="2" t="s">
        <v>10</v>
      </c>
      <c r="B17" s="3" t="str">
        <f t="shared" si="0"/>
        <v>E-mail - Remis - Changement de traitement antipsychotique</v>
      </c>
      <c r="C17" s="3" t="str">
        <f>HYPERLINK("https://otsuka-europe-crm.veevavault.com/ui/#object/sent_email__v/VBLZ025E82HIRY5", "SE-000286798")</f>
        <v>SE-000286798</v>
      </c>
      <c r="D17" s="4" t="s">
        <v>11</v>
      </c>
      <c r="E17" s="5">
        <v>0</v>
      </c>
      <c r="F17" s="5">
        <v>0</v>
      </c>
      <c r="G17" s="5">
        <v>0</v>
      </c>
      <c r="H17" s="4" t="s">
        <v>11</v>
      </c>
      <c r="I17" s="5">
        <v>0</v>
      </c>
      <c r="J17" s="4">
        <v>45943.486342592594</v>
      </c>
      <c r="N17" t="str">
        <v>Invitation RP Perspective(s)</v>
      </c>
      <c r="O17">
        <f t="shared" si="1"/>
        <v>17</v>
      </c>
      <c r="P17">
        <f t="shared" si="2"/>
        <v>40</v>
      </c>
      <c r="Q17">
        <f t="shared" si="3"/>
        <v>5</v>
      </c>
      <c r="R17">
        <f t="shared" si="4"/>
        <v>10</v>
      </c>
      <c r="S17">
        <f t="shared" si="5"/>
        <v>45</v>
      </c>
    </row>
    <row r="18" spans="1:19" x14ac:dyDescent="0.2">
      <c r="A18" s="2" t="s">
        <v>10</v>
      </c>
      <c r="B18" s="3" t="str">
        <f t="shared" si="0"/>
        <v>E-mail - Remis - Changement de traitement antipsychotique</v>
      </c>
      <c r="C18" s="3" t="str">
        <f>HYPERLINK("https://otsuka-europe-crm.veevavault.com/ui/#object/sent_email__v/VBLZ025E82HJ75D", "SE-000286820")</f>
        <v>SE-000286820</v>
      </c>
      <c r="D18" s="4">
        <v>45996.597210648149</v>
      </c>
      <c r="E18" s="5">
        <v>1</v>
      </c>
      <c r="F18" s="5">
        <v>3</v>
      </c>
      <c r="G18" s="5">
        <v>1</v>
      </c>
      <c r="H18" s="4">
        <v>45943.720532407409</v>
      </c>
      <c r="I18" s="5">
        <v>1</v>
      </c>
      <c r="J18" s="4">
        <v>45943.677812499998</v>
      </c>
      <c r="N18" t="str">
        <v>INVITATION_RDV TEL_092022</v>
      </c>
      <c r="O18">
        <f t="shared" si="1"/>
        <v>4</v>
      </c>
      <c r="P18">
        <f t="shared" si="2"/>
        <v>5</v>
      </c>
      <c r="Q18">
        <f t="shared" si="3"/>
        <v>0</v>
      </c>
      <c r="R18">
        <f t="shared" si="4"/>
        <v>0</v>
      </c>
      <c r="S18">
        <f t="shared" si="5"/>
        <v>7</v>
      </c>
    </row>
    <row r="19" spans="1:19" x14ac:dyDescent="0.2">
      <c r="A19" s="2" t="s">
        <v>10</v>
      </c>
      <c r="B19" s="3" t="str">
        <f t="shared" si="0"/>
        <v>E-mail - Remis - Changement de traitement antipsychotique</v>
      </c>
      <c r="C19" s="3" t="str">
        <f>HYPERLINK("https://otsuka-europe-crm.veevavault.com/ui/#object/sent_email__v/VBLZ025E82HOW0D", "SE-000288475")</f>
        <v>SE-000288475</v>
      </c>
      <c r="D19" s="4" t="s">
        <v>11</v>
      </c>
      <c r="E19" s="5">
        <v>0</v>
      </c>
      <c r="F19" s="5">
        <v>0</v>
      </c>
      <c r="G19" s="5">
        <v>0</v>
      </c>
      <c r="H19" s="4" t="s">
        <v>11</v>
      </c>
      <c r="I19" s="5">
        <v>0</v>
      </c>
      <c r="J19" s="4">
        <v>45950.462812500002</v>
      </c>
      <c r="N19" t="str">
        <v>INVITATION_VAD_2023</v>
      </c>
      <c r="O19">
        <f t="shared" si="1"/>
        <v>190</v>
      </c>
      <c r="P19">
        <f t="shared" si="2"/>
        <v>629</v>
      </c>
      <c r="Q19">
        <f t="shared" si="3"/>
        <v>0</v>
      </c>
      <c r="R19">
        <f t="shared" si="4"/>
        <v>0</v>
      </c>
      <c r="S19">
        <f t="shared" si="5"/>
        <v>368</v>
      </c>
    </row>
    <row r="20" spans="1:19" x14ac:dyDescent="0.2">
      <c r="A20" s="2" t="s">
        <v>10</v>
      </c>
      <c r="B20" s="3" t="str">
        <f t="shared" si="0"/>
        <v>E-mail - Remis - Changement de traitement antipsychotique</v>
      </c>
      <c r="C20" s="3" t="str">
        <f>HYPERLINK("https://otsuka-europe-crm.veevavault.com/ui/#object/sent_email__v/VBLZ025E82HRPJX", "SE-000290117")</f>
        <v>SE-000290117</v>
      </c>
      <c r="D20" s="4" t="s">
        <v>11</v>
      </c>
      <c r="E20" s="5">
        <v>0</v>
      </c>
      <c r="F20" s="5">
        <v>0</v>
      </c>
      <c r="G20" s="5">
        <v>0</v>
      </c>
      <c r="H20" s="4" t="s">
        <v>11</v>
      </c>
      <c r="I20" s="5">
        <v>0</v>
      </c>
      <c r="J20" s="4">
        <v>45952.655659722222</v>
      </c>
      <c r="N20" t="str">
        <v>OPFS Double Opt in Email for Remote Meetings - Novembre 2025</v>
      </c>
      <c r="O20">
        <f t="shared" si="1"/>
        <v>9</v>
      </c>
      <c r="P20">
        <f t="shared" si="2"/>
        <v>24</v>
      </c>
      <c r="Q20">
        <f t="shared" si="3"/>
        <v>2</v>
      </c>
      <c r="R20">
        <f t="shared" si="4"/>
        <v>2</v>
      </c>
      <c r="S20">
        <f t="shared" si="5"/>
        <v>32</v>
      </c>
    </row>
    <row r="21" spans="1:19" x14ac:dyDescent="0.2">
      <c r="A21" s="2" t="s">
        <v>10</v>
      </c>
      <c r="B21" s="3" t="str">
        <f t="shared" si="0"/>
        <v>E-mail - Remis - Changement de traitement antipsychotique</v>
      </c>
      <c r="C21" s="3" t="str">
        <f>HYPERLINK("https://otsuka-europe-crm.veevavault.com/ui/#object/sent_email__v/VBLZ025E82HRPMP", "SE-000290118")</f>
        <v>SE-000290118</v>
      </c>
      <c r="D21" s="4">
        <v>45952.655960648146</v>
      </c>
      <c r="E21" s="5">
        <v>1</v>
      </c>
      <c r="F21" s="5">
        <v>1</v>
      </c>
      <c r="G21" s="5">
        <v>0</v>
      </c>
      <c r="H21" s="4" t="s">
        <v>11</v>
      </c>
      <c r="I21" s="5">
        <v>0</v>
      </c>
      <c r="J21" s="4">
        <v>45952.65587962963</v>
      </c>
      <c r="N21" t="str">
        <v>OPFS Double Opt in Email for SMS - Novembre 2025</v>
      </c>
      <c r="O21">
        <f t="shared" si="1"/>
        <v>0</v>
      </c>
      <c r="P21">
        <f t="shared" si="2"/>
        <v>0</v>
      </c>
      <c r="Q21">
        <f t="shared" si="3"/>
        <v>0</v>
      </c>
      <c r="R21">
        <f t="shared" si="4"/>
        <v>0</v>
      </c>
      <c r="S21">
        <f t="shared" si="5"/>
        <v>2</v>
      </c>
    </row>
    <row r="22" spans="1:19" x14ac:dyDescent="0.2">
      <c r="A22" s="2" t="s">
        <v>10</v>
      </c>
      <c r="B22" s="3" t="str">
        <f t="shared" si="0"/>
        <v>E-mail - Remis - Changement de traitement antipsychotique</v>
      </c>
      <c r="C22" s="3" t="str">
        <f>HYPERLINK("https://otsuka-europe-crm.veevavault.com/ui/#object/sent_email__v/VBLZ025E82HRPPH", "SE-000290119")</f>
        <v>SE-000290119</v>
      </c>
      <c r="D22" s="4">
        <v>45953.509097222224</v>
      </c>
      <c r="E22" s="5">
        <v>1</v>
      </c>
      <c r="F22" s="5">
        <v>4</v>
      </c>
      <c r="G22" s="5">
        <v>0</v>
      </c>
      <c r="H22" s="4" t="s">
        <v>11</v>
      </c>
      <c r="I22" s="5">
        <v>0</v>
      </c>
      <c r="J22" s="4">
        <v>45952.656134259261</v>
      </c>
      <c r="N22" t="str">
        <v>Remerciement RP "Perspective(s)"</v>
      </c>
      <c r="O22">
        <f t="shared" si="1"/>
        <v>7</v>
      </c>
      <c r="P22">
        <f t="shared" si="2"/>
        <v>20</v>
      </c>
      <c r="Q22">
        <f t="shared" si="3"/>
        <v>1</v>
      </c>
      <c r="R22">
        <f t="shared" si="4"/>
        <v>5</v>
      </c>
      <c r="S22">
        <f t="shared" si="5"/>
        <v>13</v>
      </c>
    </row>
    <row r="23" spans="1:19" x14ac:dyDescent="0.2">
      <c r="A23" s="2" t="s">
        <v>10</v>
      </c>
      <c r="B23" s="3" t="str">
        <f t="shared" si="0"/>
        <v>E-mail - Remis - Changement de traitement antipsychotique</v>
      </c>
      <c r="C23" s="3" t="str">
        <f>HYPERLINK("https://otsuka-europe-crm.veevavault.com/ui/#object/sent_email__v/VBL000000002415", "SE-001379232")</f>
        <v>SE-001379232</v>
      </c>
      <c r="D23" s="4">
        <v>45960.776990740742</v>
      </c>
      <c r="E23" s="5">
        <v>1</v>
      </c>
      <c r="F23" s="5">
        <v>1</v>
      </c>
      <c r="G23" s="5">
        <v>1</v>
      </c>
      <c r="H23" s="4">
        <v>45960.776990740742</v>
      </c>
      <c r="I23" s="5">
        <v>1</v>
      </c>
      <c r="J23" s="4">
        <v>45959.410752314812</v>
      </c>
      <c r="N23" t="str">
        <v>REMERCIEMENTS_VAD_2023</v>
      </c>
      <c r="O23">
        <f t="shared" si="1"/>
        <v>79</v>
      </c>
      <c r="P23">
        <f t="shared" si="2"/>
        <v>126</v>
      </c>
      <c r="Q23">
        <f t="shared" si="3"/>
        <v>9</v>
      </c>
      <c r="R23">
        <f t="shared" si="4"/>
        <v>23</v>
      </c>
      <c r="S23">
        <f t="shared" si="5"/>
        <v>160</v>
      </c>
    </row>
    <row r="24" spans="1:19" x14ac:dyDescent="0.2">
      <c r="A24" s="2" t="s">
        <v>10</v>
      </c>
      <c r="B24" s="3" t="str">
        <f t="shared" si="0"/>
        <v>E-mail - Remis - Changement de traitement antipsychotique</v>
      </c>
      <c r="C24" s="3" t="str">
        <f>HYPERLINK("https://otsuka-europe-crm.veevavault.com/ui/#object/sent_email__v/VBL000000003194", "SE-001379233")</f>
        <v>SE-001379233</v>
      </c>
      <c r="D24" s="4" t="s">
        <v>11</v>
      </c>
      <c r="E24" s="5">
        <v>0</v>
      </c>
      <c r="F24" s="5">
        <v>0</v>
      </c>
      <c r="G24" s="5">
        <v>0</v>
      </c>
      <c r="H24" s="4" t="s">
        <v>11</v>
      </c>
      <c r="I24" s="5">
        <v>0</v>
      </c>
      <c r="J24" s="4">
        <v>45959.411134259259</v>
      </c>
      <c r="N24">
        <v>0</v>
      </c>
    </row>
    <row r="25" spans="1:19" x14ac:dyDescent="0.2">
      <c r="A25" s="2" t="s">
        <v>10</v>
      </c>
      <c r="B25" s="3" t="str">
        <f t="shared" si="0"/>
        <v>E-mail - Remis - Changement de traitement antipsychotique</v>
      </c>
      <c r="C25" s="3" t="str">
        <f>HYPERLINK("https://otsuka-europe-crm.veevavault.com/ui/#object/sent_email__v/VBL000000002418", "SE-001379236")</f>
        <v>SE-001379236</v>
      </c>
      <c r="D25" s="4">
        <v>45963.690104166664</v>
      </c>
      <c r="E25" s="5">
        <v>1</v>
      </c>
      <c r="F25" s="5">
        <v>1</v>
      </c>
      <c r="G25" s="5">
        <v>0</v>
      </c>
      <c r="H25" s="4" t="s">
        <v>11</v>
      </c>
      <c r="I25" s="5">
        <v>0</v>
      </c>
      <c r="J25" s="4">
        <v>45959.412222222221</v>
      </c>
    </row>
    <row r="26" spans="1:19" x14ac:dyDescent="0.2">
      <c r="A26" s="2" t="s">
        <v>10</v>
      </c>
      <c r="B26" s="3" t="str">
        <f t="shared" si="0"/>
        <v>E-mail - Remis - Changement de traitement antipsychotique</v>
      </c>
      <c r="C26" s="3" t="str">
        <f>HYPERLINK("https://otsuka-europe-crm.veevavault.com/ui/#object/sent_email__v/VBL000000002419", "SE-001379237")</f>
        <v>SE-001379237</v>
      </c>
      <c r="D26" s="4" t="s">
        <v>11</v>
      </c>
      <c r="E26" s="5">
        <v>0</v>
      </c>
      <c r="F26" s="5">
        <v>0</v>
      </c>
      <c r="G26" s="5">
        <v>0</v>
      </c>
      <c r="H26" s="4" t="s">
        <v>11</v>
      </c>
      <c r="I26" s="5">
        <v>0</v>
      </c>
      <c r="J26" s="4">
        <v>45959.413206018522</v>
      </c>
    </row>
    <row r="27" spans="1:19" x14ac:dyDescent="0.2">
      <c r="A27" s="2" t="s">
        <v>10</v>
      </c>
      <c r="B27" s="3" t="str">
        <f t="shared" si="0"/>
        <v>E-mail - Remis - Changement de traitement antipsychotique</v>
      </c>
      <c r="C27" s="3" t="str">
        <f>HYPERLINK("https://otsuka-europe-crm.veevavault.com/ui/#object/sent_email__v/VBL000000002420", "SE-001379238")</f>
        <v>SE-001379238</v>
      </c>
      <c r="D27" s="4" t="s">
        <v>11</v>
      </c>
      <c r="E27" s="5">
        <v>0</v>
      </c>
      <c r="F27" s="5">
        <v>0</v>
      </c>
      <c r="G27" s="5">
        <v>0</v>
      </c>
      <c r="H27" s="4" t="s">
        <v>11</v>
      </c>
      <c r="I27" s="5">
        <v>0</v>
      </c>
      <c r="J27" s="4">
        <v>45959.413472222222</v>
      </c>
    </row>
    <row r="28" spans="1:19" x14ac:dyDescent="0.2">
      <c r="A28" s="2" t="s">
        <v>10</v>
      </c>
      <c r="B28" s="3" t="str">
        <f t="shared" si="0"/>
        <v>E-mail - Remis - Changement de traitement antipsychotique</v>
      </c>
      <c r="C28" s="3" t="str">
        <f>HYPERLINK("https://otsuka-europe-crm.veevavault.com/ui/#object/sent_email__v/VBL000000002421", "SE-001379239")</f>
        <v>SE-001379239</v>
      </c>
      <c r="D28" s="4" t="s">
        <v>11</v>
      </c>
      <c r="E28" s="5">
        <v>0</v>
      </c>
      <c r="F28" s="5">
        <v>0</v>
      </c>
      <c r="G28" s="5">
        <v>0</v>
      </c>
      <c r="H28" s="4" t="s">
        <v>11</v>
      </c>
      <c r="I28" s="5">
        <v>0</v>
      </c>
      <c r="J28" s="4">
        <v>45959.414942129632</v>
      </c>
    </row>
    <row r="29" spans="1:19" x14ac:dyDescent="0.2">
      <c r="A29" s="2" t="s">
        <v>10</v>
      </c>
      <c r="B29" s="3" t="str">
        <f t="shared" si="0"/>
        <v>E-mail - Remis - Changement de traitement antipsychotique</v>
      </c>
      <c r="C29" s="3" t="str">
        <f>HYPERLINK("https://otsuka-europe-crm.veevavault.com/ui/#object/sent_email__v/VBL000000003197", "SE-001379245")</f>
        <v>SE-001379245</v>
      </c>
      <c r="D29" s="4">
        <v>45993.422743055555</v>
      </c>
      <c r="E29" s="5">
        <v>1</v>
      </c>
      <c r="F29" s="5">
        <v>4</v>
      </c>
      <c r="G29" s="5">
        <v>0</v>
      </c>
      <c r="H29" s="4" t="s">
        <v>11</v>
      </c>
      <c r="I29" s="5">
        <v>0</v>
      </c>
      <c r="J29" s="4">
        <v>45959.41747685185</v>
      </c>
    </row>
    <row r="30" spans="1:19" x14ac:dyDescent="0.2">
      <c r="A30" s="2" t="s">
        <v>10</v>
      </c>
      <c r="B30" s="3" t="str">
        <f t="shared" si="0"/>
        <v>E-mail - Remis - Changement de traitement antipsychotique</v>
      </c>
      <c r="C30" s="3" t="str">
        <f>HYPERLINK("https://otsuka-europe-crm.veevavault.com/ui/#object/sent_email__v/VBL000000002437", "SE-001379272")</f>
        <v>SE-001379272</v>
      </c>
      <c r="D30" s="4">
        <v>45960.468032407407</v>
      </c>
      <c r="E30" s="5">
        <v>1</v>
      </c>
      <c r="F30" s="5">
        <v>1</v>
      </c>
      <c r="G30" s="5">
        <v>0</v>
      </c>
      <c r="H30" s="4" t="s">
        <v>11</v>
      </c>
      <c r="I30" s="5">
        <v>0</v>
      </c>
      <c r="J30" s="4">
        <v>45959.65519675926</v>
      </c>
    </row>
    <row r="31" spans="1:19" x14ac:dyDescent="0.2">
      <c r="A31" s="2" t="s">
        <v>10</v>
      </c>
      <c r="B31" s="3" t="str">
        <f t="shared" si="0"/>
        <v>E-mail - Remis - Changement de traitement antipsychotique</v>
      </c>
      <c r="C31" s="3" t="str">
        <f>HYPERLINK("https://otsuka-europe-crm.veevavault.com/ui/#object/sent_email__v/VBL000000002439", "SE-001379274")</f>
        <v>SE-001379274</v>
      </c>
      <c r="D31" s="4">
        <v>45961.457592592589</v>
      </c>
      <c r="E31" s="5">
        <v>1</v>
      </c>
      <c r="F31" s="5">
        <v>2</v>
      </c>
      <c r="G31" s="5">
        <v>1</v>
      </c>
      <c r="H31" s="4">
        <v>45961.457754629628</v>
      </c>
      <c r="I31" s="5">
        <v>1</v>
      </c>
      <c r="J31" s="4">
        <v>45959.655729166669</v>
      </c>
    </row>
    <row r="32" spans="1:19" x14ac:dyDescent="0.2">
      <c r="A32" s="2" t="s">
        <v>10</v>
      </c>
      <c r="B32" s="3" t="str">
        <f t="shared" si="0"/>
        <v>E-mail - Remis - Changement de traitement antipsychotique</v>
      </c>
      <c r="C32" s="3" t="str">
        <f>HYPERLINK("https://otsuka-europe-crm.veevavault.com/ui/#object/sent_email__v/VBL00000000O102", "SE-001390431")</f>
        <v>SE-001390431</v>
      </c>
      <c r="D32" s="4" t="s">
        <v>11</v>
      </c>
      <c r="E32" s="5">
        <v>0</v>
      </c>
      <c r="F32" s="5">
        <v>0</v>
      </c>
      <c r="G32" s="5">
        <v>0</v>
      </c>
      <c r="H32" s="4" t="s">
        <v>11</v>
      </c>
      <c r="I32" s="5">
        <v>0</v>
      </c>
      <c r="J32" s="4">
        <v>45978.301620370374</v>
      </c>
    </row>
    <row r="33" spans="1:10" x14ac:dyDescent="0.2">
      <c r="A33" s="2" t="s">
        <v>10</v>
      </c>
      <c r="B33" s="3" t="str">
        <f t="shared" si="0"/>
        <v>E-mail - Remis - Changement de traitement antipsychotique</v>
      </c>
      <c r="C33" s="3" t="str">
        <f>HYPERLINK("https://otsuka-europe-crm.veevavault.com/ui/#object/sent_email__v/VBL00000000N461", "SE-001390774")</f>
        <v>SE-001390774</v>
      </c>
      <c r="D33" s="4" t="s">
        <v>11</v>
      </c>
      <c r="E33" s="5">
        <v>0</v>
      </c>
      <c r="F33" s="5">
        <v>0</v>
      </c>
      <c r="G33" s="5">
        <v>0</v>
      </c>
      <c r="H33" s="4" t="s">
        <v>11</v>
      </c>
      <c r="I33" s="5">
        <v>0</v>
      </c>
      <c r="J33" s="4">
        <v>45978.578287037039</v>
      </c>
    </row>
    <row r="34" spans="1:10" x14ac:dyDescent="0.2">
      <c r="A34" s="2" t="s">
        <v>10</v>
      </c>
      <c r="B34" s="3" t="str">
        <f t="shared" si="0"/>
        <v>E-mail - Remis - Changement de traitement antipsychotique</v>
      </c>
      <c r="C34" s="3" t="str">
        <f>HYPERLINK("https://otsuka-europe-crm.veevavault.com/ui/#object/sent_email__v/VBL00000000N468", "SE-001390791")</f>
        <v>SE-001390791</v>
      </c>
      <c r="D34" s="4" t="s">
        <v>11</v>
      </c>
      <c r="E34" s="5">
        <v>0</v>
      </c>
      <c r="F34" s="5">
        <v>0</v>
      </c>
      <c r="G34" s="5">
        <v>0</v>
      </c>
      <c r="H34" s="4" t="s">
        <v>11</v>
      </c>
      <c r="I34" s="5">
        <v>0</v>
      </c>
      <c r="J34" s="4">
        <v>45978.71371527778</v>
      </c>
    </row>
    <row r="35" spans="1:10" x14ac:dyDescent="0.2">
      <c r="A35" s="2" t="s">
        <v>10</v>
      </c>
      <c r="B35" s="3" t="str">
        <f t="shared" si="0"/>
        <v>E-mail - Remis - Changement de traitement antipsychotique</v>
      </c>
      <c r="C35" s="3" t="str">
        <f>HYPERLINK("https://otsuka-europe-crm.veevavault.com/ui/#object/sent_email__v/VBL00000000N469", "SE-001390792")</f>
        <v>SE-001390792</v>
      </c>
      <c r="D35" s="4" t="s">
        <v>11</v>
      </c>
      <c r="E35" s="5">
        <v>0</v>
      </c>
      <c r="F35" s="5">
        <v>0</v>
      </c>
      <c r="G35" s="5">
        <v>0</v>
      </c>
      <c r="H35" s="4" t="s">
        <v>11</v>
      </c>
      <c r="I35" s="5">
        <v>0</v>
      </c>
      <c r="J35" s="4">
        <v>45978.714594907404</v>
      </c>
    </row>
    <row r="36" spans="1:10" x14ac:dyDescent="0.2">
      <c r="A36" s="2" t="s">
        <v>10</v>
      </c>
      <c r="B36" s="3" t="str">
        <f t="shared" si="0"/>
        <v>E-mail - Remis - Changement de traitement antipsychotique</v>
      </c>
      <c r="C36" s="3" t="str">
        <f>HYPERLINK("https://otsuka-europe-crm.veevavault.com/ui/#object/sent_email__v/VBL00000001E137", "SE-001404165")</f>
        <v>SE-001404165</v>
      </c>
      <c r="D36" s="4" t="s">
        <v>11</v>
      </c>
      <c r="E36" s="5">
        <v>0</v>
      </c>
      <c r="F36" s="5">
        <v>0</v>
      </c>
      <c r="G36" s="5">
        <v>0</v>
      </c>
      <c r="H36" s="4" t="s">
        <v>11</v>
      </c>
      <c r="I36" s="5">
        <v>0</v>
      </c>
      <c r="J36" s="4">
        <v>46069.544305555559</v>
      </c>
    </row>
    <row r="37" spans="1:10" x14ac:dyDescent="0.2">
      <c r="A37" s="2" t="s">
        <v>10</v>
      </c>
      <c r="B37" s="3" t="str">
        <f t="shared" si="0"/>
        <v>E-mail - Remis - Changement de traitement antipsychotique</v>
      </c>
      <c r="C37" s="3" t="str">
        <f>HYPERLINK("https://otsuka-europe-crm.veevavault.com/ui/#object/sent_email__v/VBL00000001E155", "SE-001404196")</f>
        <v>SE-001404196</v>
      </c>
      <c r="D37" s="4" t="s">
        <v>11</v>
      </c>
      <c r="E37" s="5">
        <v>0</v>
      </c>
      <c r="F37" s="5">
        <v>0</v>
      </c>
      <c r="G37" s="5">
        <v>0</v>
      </c>
      <c r="H37" s="4" t="s">
        <v>11</v>
      </c>
      <c r="I37" s="5">
        <v>0</v>
      </c>
      <c r="J37" s="4">
        <v>46069.667719907404</v>
      </c>
    </row>
    <row r="38" spans="1:10" x14ac:dyDescent="0.2">
      <c r="A38" s="2" t="s">
        <v>10</v>
      </c>
      <c r="B38" s="3" t="str">
        <f t="shared" si="0"/>
        <v>E-mail - Remis - Changement de traitement antipsychotique</v>
      </c>
      <c r="C38" s="3" t="str">
        <f>HYPERLINK("https://otsuka-europe-crm.veevavault.com/ui/#object/sent_email__v/VBL00000001D086", "SE-001404197")</f>
        <v>SE-001404197</v>
      </c>
      <c r="D38" s="4">
        <v>46070.632708333331</v>
      </c>
      <c r="E38" s="5">
        <v>1</v>
      </c>
      <c r="F38" s="5">
        <v>3</v>
      </c>
      <c r="G38" s="5">
        <v>0</v>
      </c>
      <c r="H38" s="4" t="s">
        <v>11</v>
      </c>
      <c r="I38" s="5">
        <v>0</v>
      </c>
      <c r="J38" s="4">
        <v>46069.668506944443</v>
      </c>
    </row>
    <row r="39" spans="1:10" x14ac:dyDescent="0.2">
      <c r="A39" s="2" t="s">
        <v>10</v>
      </c>
      <c r="B39" s="3" t="str">
        <f t="shared" si="0"/>
        <v>E-mail - Remis - Changement de traitement antipsychotique</v>
      </c>
      <c r="C39" s="3" t="str">
        <f>HYPERLINK("https://otsuka-europe-crm.veevavault.com/ui/#object/sent_email__v/VBL00000001E156", "SE-001404198")</f>
        <v>SE-001404198</v>
      </c>
      <c r="D39" s="4">
        <v>46070.274062500001</v>
      </c>
      <c r="E39" s="5">
        <v>1</v>
      </c>
      <c r="F39" s="5">
        <v>2</v>
      </c>
      <c r="G39" s="5">
        <v>1</v>
      </c>
      <c r="H39" s="4">
        <v>46070.271666666667</v>
      </c>
      <c r="I39" s="5">
        <v>1</v>
      </c>
      <c r="J39" s="4">
        <v>46069.66915509259</v>
      </c>
    </row>
    <row r="40" spans="1:10" x14ac:dyDescent="0.2">
      <c r="A40" s="2" t="s">
        <v>10</v>
      </c>
      <c r="B40" s="3" t="str">
        <f t="shared" si="0"/>
        <v>E-mail - Remis - Changement de traitement antipsychotique</v>
      </c>
      <c r="C40" s="3" t="str">
        <f>HYPERLINK("https://otsuka-europe-crm.veevavault.com/ui/#object/sent_email__v/VBL00000001E157", "SE-001404199")</f>
        <v>SE-001404199</v>
      </c>
      <c r="D40" s="4" t="s">
        <v>11</v>
      </c>
      <c r="E40" s="5">
        <v>0</v>
      </c>
      <c r="F40" s="5">
        <v>0</v>
      </c>
      <c r="G40" s="5">
        <v>0</v>
      </c>
      <c r="H40" s="4" t="s">
        <v>11</v>
      </c>
      <c r="I40" s="5">
        <v>0</v>
      </c>
      <c r="J40" s="4">
        <v>46069.670243055552</v>
      </c>
    </row>
    <row r="41" spans="1:10" x14ac:dyDescent="0.2">
      <c r="A41" s="2" t="s">
        <v>10</v>
      </c>
      <c r="B41" s="3" t="str">
        <f t="shared" si="0"/>
        <v>E-mail - Remis - Changement de traitement antipsychotique</v>
      </c>
      <c r="C41" s="3" t="str">
        <f>HYPERLINK("https://otsuka-europe-crm.veevavault.com/ui/#object/sent_email__v/VBL00000001G022", "SE-001405187")</f>
        <v>SE-001405187</v>
      </c>
      <c r="D41" s="4" t="s">
        <v>11</v>
      </c>
      <c r="E41" s="5">
        <v>0</v>
      </c>
      <c r="F41" s="5">
        <v>0</v>
      </c>
      <c r="G41" s="5">
        <v>0</v>
      </c>
      <c r="H41" s="4" t="s">
        <v>11</v>
      </c>
      <c r="I41" s="5">
        <v>0</v>
      </c>
      <c r="J41" s="4">
        <v>46073.34746527778</v>
      </c>
    </row>
    <row r="42" spans="1:10" x14ac:dyDescent="0.2">
      <c r="A42" s="2" t="s">
        <v>10</v>
      </c>
      <c r="B42" s="3" t="str">
        <f t="shared" ref="B42:B54" si="6">HYPERLINK("https://otsuka-europe-crm.veevavault.com/ui/#object/approved_document__v/V5OZ025E82HK86R", "Email à fragment trajectoires schizophrénies - FR-CNS-2400018")</f>
        <v>Email à fragment trajectoires schizophrénies - FR-CNS-2400018</v>
      </c>
      <c r="C42" s="3" t="str">
        <f>HYPERLINK("https://otsuka-europe-crm.veevavault.com/ui/#object/sent_email__v/VBLZ025E82GOCT5", "SE-000275585")</f>
        <v>SE-000275585</v>
      </c>
      <c r="D42" s="4" t="s">
        <v>11</v>
      </c>
      <c r="E42" s="5">
        <v>0</v>
      </c>
      <c r="F42" s="5">
        <v>0</v>
      </c>
      <c r="G42" s="5">
        <v>0</v>
      </c>
      <c r="H42" s="4" t="s">
        <v>11</v>
      </c>
      <c r="I42" s="5">
        <v>0</v>
      </c>
      <c r="J42" s="4">
        <v>45915.571585648147</v>
      </c>
    </row>
    <row r="43" spans="1:10" x14ac:dyDescent="0.2">
      <c r="A43" s="2" t="s">
        <v>10</v>
      </c>
      <c r="B43" s="3" t="str">
        <f t="shared" si="6"/>
        <v>Email à fragment trajectoires schizophrénies - FR-CNS-2400018</v>
      </c>
      <c r="C43" s="3" t="str">
        <f>HYPERLINK("https://otsuka-europe-crm.veevavault.com/ui/#object/sent_email__v/VBLZ025E82GPTTH", "SE-000275681")</f>
        <v>SE-000275681</v>
      </c>
      <c r="D43" s="4" t="s">
        <v>11</v>
      </c>
      <c r="E43" s="5">
        <v>0</v>
      </c>
      <c r="F43" s="5">
        <v>0</v>
      </c>
      <c r="G43" s="5">
        <v>0</v>
      </c>
      <c r="H43" s="4" t="s">
        <v>11</v>
      </c>
      <c r="I43" s="5">
        <v>0</v>
      </c>
      <c r="J43" s="4">
        <v>45916.585775462961</v>
      </c>
    </row>
    <row r="44" spans="1:10" x14ac:dyDescent="0.2">
      <c r="A44" s="2" t="s">
        <v>10</v>
      </c>
      <c r="B44" s="3" t="str">
        <f t="shared" si="6"/>
        <v>Email à fragment trajectoires schizophrénies - FR-CNS-2400018</v>
      </c>
      <c r="C44" s="3" t="str">
        <f>HYPERLINK("https://otsuka-europe-crm.veevavault.com/ui/#object/sent_email__v/VBLZ025E82GSVB7", "SE-000276673")</f>
        <v>SE-000276673</v>
      </c>
      <c r="D44" s="4">
        <v>45923.815798611111</v>
      </c>
      <c r="E44" s="5">
        <v>1</v>
      </c>
      <c r="F44" s="5">
        <v>1</v>
      </c>
      <c r="G44" s="5">
        <v>0</v>
      </c>
      <c r="H44" s="4" t="s">
        <v>11</v>
      </c>
      <c r="I44" s="5">
        <v>0</v>
      </c>
      <c r="J44" s="4">
        <v>45918.550810185188</v>
      </c>
    </row>
    <row r="45" spans="1:10" x14ac:dyDescent="0.2">
      <c r="A45" s="2" t="s">
        <v>10</v>
      </c>
      <c r="B45" s="3" t="str">
        <f t="shared" si="6"/>
        <v>Email à fragment trajectoires schizophrénies - FR-CNS-2400018</v>
      </c>
      <c r="C45" s="3" t="str">
        <f>HYPERLINK("https://otsuka-europe-crm.veevavault.com/ui/#object/sent_email__v/VBLZ025E82GTIRL", "SE-000276688")</f>
        <v>SE-000276688</v>
      </c>
      <c r="D45" s="4">
        <v>45918.827164351853</v>
      </c>
      <c r="E45" s="5">
        <v>1</v>
      </c>
      <c r="F45" s="5">
        <v>1</v>
      </c>
      <c r="G45" s="5">
        <v>0</v>
      </c>
      <c r="H45" s="4" t="s">
        <v>11</v>
      </c>
      <c r="I45" s="5">
        <v>0</v>
      </c>
      <c r="J45" s="4">
        <v>45918.671122685184</v>
      </c>
    </row>
    <row r="46" spans="1:10" x14ac:dyDescent="0.2">
      <c r="A46" s="2" t="s">
        <v>10</v>
      </c>
      <c r="B46" s="3" t="str">
        <f t="shared" si="6"/>
        <v>Email à fragment trajectoires schizophrénies - FR-CNS-2400018</v>
      </c>
      <c r="C46" s="3" t="str">
        <f>HYPERLINK("https://otsuka-europe-crm.veevavault.com/ui/#object/sent_email__v/VBLZ025E82GYH09", "SE-000280395")</f>
        <v>SE-000280395</v>
      </c>
      <c r="D46" s="4" t="s">
        <v>11</v>
      </c>
      <c r="E46" s="5">
        <v>0</v>
      </c>
      <c r="F46" s="5">
        <v>0</v>
      </c>
      <c r="G46" s="5">
        <v>0</v>
      </c>
      <c r="H46" s="4" t="s">
        <v>11</v>
      </c>
      <c r="I46" s="5">
        <v>0</v>
      </c>
      <c r="J46" s="4">
        <v>45924.482546296298</v>
      </c>
    </row>
    <row r="47" spans="1:10" x14ac:dyDescent="0.2">
      <c r="A47" s="2" t="s">
        <v>10</v>
      </c>
      <c r="B47" s="3" t="str">
        <f t="shared" si="6"/>
        <v>Email à fragment trajectoires schizophrénies - FR-CNS-2400018</v>
      </c>
      <c r="C47" s="3" t="str">
        <f>HYPERLINK("https://otsuka-europe-crm.veevavault.com/ui/#object/sent_email__v/VBLZ025E82H7I09", "SE-000282863")</f>
        <v>SE-000282863</v>
      </c>
      <c r="D47" s="4" t="s">
        <v>11</v>
      </c>
      <c r="E47" s="5">
        <v>0</v>
      </c>
      <c r="F47" s="5">
        <v>0</v>
      </c>
      <c r="G47" s="5">
        <v>0</v>
      </c>
      <c r="H47" s="4" t="s">
        <v>11</v>
      </c>
      <c r="I47" s="5">
        <v>0</v>
      </c>
      <c r="J47" s="4">
        <v>45932.410983796297</v>
      </c>
    </row>
    <row r="48" spans="1:10" x14ac:dyDescent="0.2">
      <c r="A48" s="2" t="s">
        <v>10</v>
      </c>
      <c r="B48" s="3" t="str">
        <f t="shared" si="6"/>
        <v>Email à fragment trajectoires schizophrénies - FR-CNS-2400018</v>
      </c>
      <c r="C48" s="3" t="str">
        <f>HYPERLINK("https://otsuka-europe-crm.veevavault.com/ui/#object/sent_email__v/VBL00000000Q132", "SE-001391285")</f>
        <v>SE-001391285</v>
      </c>
      <c r="D48" s="4" t="s">
        <v>11</v>
      </c>
      <c r="E48" s="5">
        <v>0</v>
      </c>
      <c r="F48" s="5">
        <v>0</v>
      </c>
      <c r="G48" s="5">
        <v>0</v>
      </c>
      <c r="H48" s="4" t="s">
        <v>11</v>
      </c>
      <c r="I48" s="5">
        <v>0</v>
      </c>
      <c r="J48" s="4">
        <v>45980.607268518521</v>
      </c>
    </row>
    <row r="49" spans="1:10" x14ac:dyDescent="0.2">
      <c r="A49" s="2" t="s">
        <v>10</v>
      </c>
      <c r="B49" s="3" t="str">
        <f t="shared" si="6"/>
        <v>Email à fragment trajectoires schizophrénies - FR-CNS-2400018</v>
      </c>
      <c r="C49" s="3" t="str">
        <f>HYPERLINK("https://otsuka-europe-crm.veevavault.com/ui/#object/sent_email__v/VBL000000017055", "SE-001402019")</f>
        <v>SE-001402019</v>
      </c>
      <c r="D49" s="4">
        <v>46050.75267361111</v>
      </c>
      <c r="E49" s="5">
        <v>1</v>
      </c>
      <c r="F49" s="5">
        <v>2</v>
      </c>
      <c r="G49" s="5">
        <v>0</v>
      </c>
      <c r="H49" s="4" t="s">
        <v>11</v>
      </c>
      <c r="I49" s="5">
        <v>0</v>
      </c>
      <c r="J49" s="4">
        <v>46049.732673611114</v>
      </c>
    </row>
    <row r="50" spans="1:10" x14ac:dyDescent="0.2">
      <c r="A50" s="2" t="s">
        <v>10</v>
      </c>
      <c r="B50" s="3" t="str">
        <f t="shared" si="6"/>
        <v>Email à fragment trajectoires schizophrénies - FR-CNS-2400018</v>
      </c>
      <c r="C50" s="3" t="str">
        <f>HYPERLINK("https://otsuka-europe-crm.veevavault.com/ui/#object/sent_email__v/VBL000000017163", "SE-001402218")</f>
        <v>SE-001402218</v>
      </c>
      <c r="D50" s="4" t="s">
        <v>11</v>
      </c>
      <c r="E50" s="5">
        <v>0</v>
      </c>
      <c r="F50" s="5">
        <v>0</v>
      </c>
      <c r="G50" s="5">
        <v>0</v>
      </c>
      <c r="H50" s="4" t="s">
        <v>11</v>
      </c>
      <c r="I50" s="5">
        <v>0</v>
      </c>
      <c r="J50" s="4">
        <v>46051.630104166667</v>
      </c>
    </row>
    <row r="51" spans="1:10" x14ac:dyDescent="0.2">
      <c r="A51" s="2" t="s">
        <v>10</v>
      </c>
      <c r="B51" s="3" t="str">
        <f t="shared" si="6"/>
        <v>Email à fragment trajectoires schizophrénies - FR-CNS-2400018</v>
      </c>
      <c r="C51" s="3" t="str">
        <f>HYPERLINK("https://otsuka-europe-crm.veevavault.com/ui/#object/sent_email__v/VBL000000017164", "SE-001402219")</f>
        <v>SE-001402219</v>
      </c>
      <c r="D51" s="4">
        <v>46051.678854166668</v>
      </c>
      <c r="E51" s="5">
        <v>1</v>
      </c>
      <c r="F51" s="5">
        <v>3</v>
      </c>
      <c r="G51" s="5">
        <v>0</v>
      </c>
      <c r="H51" s="4" t="s">
        <v>11</v>
      </c>
      <c r="I51" s="5">
        <v>0</v>
      </c>
      <c r="J51" s="4">
        <v>46051.630381944444</v>
      </c>
    </row>
    <row r="52" spans="1:10" x14ac:dyDescent="0.2">
      <c r="A52" s="2" t="s">
        <v>10</v>
      </c>
      <c r="B52" s="3" t="str">
        <f t="shared" si="6"/>
        <v>Email à fragment trajectoires schizophrénies - FR-CNS-2400018</v>
      </c>
      <c r="C52" s="3" t="str">
        <f>HYPERLINK("https://otsuka-europe-crm.veevavault.com/ui/#object/sent_email__v/VBL00000001C293", "SE-001403555")</f>
        <v>SE-001403555</v>
      </c>
      <c r="D52" s="4">
        <v>46062.946550925924</v>
      </c>
      <c r="E52" s="5">
        <v>1</v>
      </c>
      <c r="F52" s="5">
        <v>1</v>
      </c>
      <c r="G52" s="5">
        <v>0</v>
      </c>
      <c r="H52" s="4" t="s">
        <v>11</v>
      </c>
      <c r="I52" s="5">
        <v>0</v>
      </c>
      <c r="J52" s="4">
        <v>46062.607870370368</v>
      </c>
    </row>
    <row r="53" spans="1:10" x14ac:dyDescent="0.2">
      <c r="A53" s="2" t="s">
        <v>10</v>
      </c>
      <c r="B53" s="3" t="str">
        <f t="shared" si="6"/>
        <v>Email à fragment trajectoires schizophrénies - FR-CNS-2400018</v>
      </c>
      <c r="C53" s="3" t="str">
        <f>HYPERLINK("https://otsuka-europe-crm.veevavault.com/ui/#object/sent_email__v/VBL00000001E081", "SE-001404078")</f>
        <v>SE-001404078</v>
      </c>
      <c r="D53" s="4">
        <v>46067.631168981483</v>
      </c>
      <c r="E53" s="5">
        <v>1</v>
      </c>
      <c r="F53" s="5">
        <v>1</v>
      </c>
      <c r="G53" s="5">
        <v>0</v>
      </c>
      <c r="H53" s="4" t="s">
        <v>11</v>
      </c>
      <c r="I53" s="5">
        <v>0</v>
      </c>
      <c r="J53" s="4">
        <v>46066.698425925926</v>
      </c>
    </row>
    <row r="54" spans="1:10" x14ac:dyDescent="0.2">
      <c r="A54" s="2" t="s">
        <v>10</v>
      </c>
      <c r="B54" s="3" t="str">
        <f t="shared" si="6"/>
        <v>Email à fragment trajectoires schizophrénies - FR-CNS-2400018</v>
      </c>
      <c r="C54" s="3" t="str">
        <f>HYPERLINK("https://otsuka-europe-crm.veevavault.com/ui/#object/sent_email__v/VBL00000001D085", "SE-001404195")</f>
        <v>SE-001404195</v>
      </c>
      <c r="D54" s="4" t="s">
        <v>11</v>
      </c>
      <c r="E54" s="5">
        <v>0</v>
      </c>
      <c r="F54" s="5">
        <v>0</v>
      </c>
      <c r="G54" s="5">
        <v>0</v>
      </c>
      <c r="H54" s="4" t="s">
        <v>11</v>
      </c>
      <c r="I54" s="5">
        <v>0</v>
      </c>
      <c r="J54" s="4">
        <v>46069.663888888892</v>
      </c>
    </row>
    <row r="55" spans="1:10" x14ac:dyDescent="0.2">
      <c r="A55" s="2" t="s">
        <v>10</v>
      </c>
      <c r="B55" s="3" t="str">
        <f t="shared" ref="B55:B118" si="7">HYPERLINK("https://otsuka-europe-crm.veevavault.com/ui/#object/approved_document__v/V5OZ025E82N35U9", "Email Abilify Maintena 960 mg En pratique_FR-AM2-2400045")</f>
        <v>Email Abilify Maintena 960 mg En pratique_FR-AM2-2400045</v>
      </c>
      <c r="C55" s="3" t="str">
        <f>HYPERLINK("https://otsuka-europe-crm.veevavault.com/ui/#object/sent_email__v/VBLZ025E82GCPWL", "SE-000254960")</f>
        <v>SE-000254960</v>
      </c>
      <c r="D55" s="4" t="s">
        <v>11</v>
      </c>
      <c r="E55" s="5">
        <v>0</v>
      </c>
      <c r="F55" s="5">
        <v>0</v>
      </c>
      <c r="G55" s="5">
        <v>0</v>
      </c>
      <c r="H55" s="4" t="s">
        <v>11</v>
      </c>
      <c r="I55" s="5">
        <v>0</v>
      </c>
      <c r="J55" s="4">
        <v>45902.425671296296</v>
      </c>
    </row>
    <row r="56" spans="1:10" x14ac:dyDescent="0.2">
      <c r="A56" s="2" t="s">
        <v>10</v>
      </c>
      <c r="B56" s="3" t="str">
        <f t="shared" si="7"/>
        <v>Email Abilify Maintena 960 mg En pratique_FR-AM2-2400045</v>
      </c>
      <c r="C56" s="3" t="str">
        <f>HYPERLINK("https://otsuka-europe-crm.veevavault.com/ui/#object/sent_email__v/VBLZ025E82GD2V9", "SE-000255122")</f>
        <v>SE-000255122</v>
      </c>
      <c r="D56" s="4">
        <v>45903.493969907409</v>
      </c>
      <c r="E56" s="5">
        <v>1</v>
      </c>
      <c r="F56" s="5">
        <v>13</v>
      </c>
      <c r="G56" s="5">
        <v>0</v>
      </c>
      <c r="H56" s="4" t="s">
        <v>11</v>
      </c>
      <c r="I56" s="5">
        <v>0</v>
      </c>
      <c r="J56" s="4">
        <v>45902.558888888889</v>
      </c>
    </row>
    <row r="57" spans="1:10" x14ac:dyDescent="0.2">
      <c r="A57" s="2" t="s">
        <v>10</v>
      </c>
      <c r="B57" s="3" t="str">
        <f t="shared" si="7"/>
        <v>Email Abilify Maintena 960 mg En pratique_FR-AM2-2400045</v>
      </c>
      <c r="C57" s="3" t="str">
        <f>HYPERLINK("https://otsuka-europe-crm.veevavault.com/ui/#object/sent_email__v/VBLZ025E82GDCTL", "SE-000255137")</f>
        <v>SE-000255137</v>
      </c>
      <c r="D57" s="4" t="s">
        <v>11</v>
      </c>
      <c r="E57" s="5">
        <v>0</v>
      </c>
      <c r="F57" s="5">
        <v>0</v>
      </c>
      <c r="G57" s="5">
        <v>0</v>
      </c>
      <c r="H57" s="4" t="s">
        <v>11</v>
      </c>
      <c r="I57" s="5">
        <v>0</v>
      </c>
      <c r="J57" s="4">
        <v>45902.651643518519</v>
      </c>
    </row>
    <row r="58" spans="1:10" x14ac:dyDescent="0.2">
      <c r="A58" s="2" t="s">
        <v>10</v>
      </c>
      <c r="B58" s="3" t="str">
        <f t="shared" si="7"/>
        <v>Email Abilify Maintena 960 mg En pratique_FR-AM2-2400045</v>
      </c>
      <c r="C58" s="3" t="str">
        <f>HYPERLINK("https://otsuka-europe-crm.veevavault.com/ui/#object/sent_email__v/VBLZ025E82GDDWH", "SE-000255138")</f>
        <v>SE-000255138</v>
      </c>
      <c r="D58" s="4">
        <v>45903.323703703703</v>
      </c>
      <c r="E58" s="5">
        <v>1</v>
      </c>
      <c r="F58" s="5">
        <v>3</v>
      </c>
      <c r="G58" s="5">
        <v>0</v>
      </c>
      <c r="H58" s="4" t="s">
        <v>11</v>
      </c>
      <c r="I58" s="5">
        <v>0</v>
      </c>
      <c r="J58" s="4">
        <v>45902.668009259258</v>
      </c>
    </row>
    <row r="59" spans="1:10" x14ac:dyDescent="0.2">
      <c r="A59" s="2" t="s">
        <v>10</v>
      </c>
      <c r="B59" s="3" t="str">
        <f t="shared" si="7"/>
        <v>Email Abilify Maintena 960 mg En pratique_FR-AM2-2400045</v>
      </c>
      <c r="C59" s="3" t="str">
        <f>HYPERLINK("https://otsuka-europe-crm.veevavault.com/ui/#object/sent_email__v/VBLZ025E82GDDZ9", "SE-000255139")</f>
        <v>SE-000255139</v>
      </c>
      <c r="D59" s="4" t="s">
        <v>11</v>
      </c>
      <c r="E59" s="5">
        <v>0</v>
      </c>
      <c r="F59" s="5">
        <v>0</v>
      </c>
      <c r="G59" s="5">
        <v>0</v>
      </c>
      <c r="H59" s="4" t="s">
        <v>11</v>
      </c>
      <c r="I59" s="5">
        <v>0</v>
      </c>
      <c r="J59" s="4">
        <v>45902.668229166666</v>
      </c>
    </row>
    <row r="60" spans="1:10" x14ac:dyDescent="0.2">
      <c r="A60" s="2" t="s">
        <v>10</v>
      </c>
      <c r="B60" s="3" t="str">
        <f t="shared" si="7"/>
        <v>Email Abilify Maintena 960 mg En pratique_FR-AM2-2400045</v>
      </c>
      <c r="C60" s="3" t="str">
        <f>HYPERLINK("https://otsuka-europe-crm.veevavault.com/ui/#object/sent_email__v/VBLZ025E82GDG51", "SE-000255142")</f>
        <v>SE-000255142</v>
      </c>
      <c r="D60" s="4">
        <v>45903.438067129631</v>
      </c>
      <c r="E60" s="5">
        <v>1</v>
      </c>
      <c r="F60" s="5">
        <v>9</v>
      </c>
      <c r="G60" s="5">
        <v>0</v>
      </c>
      <c r="H60" s="4" t="s">
        <v>11</v>
      </c>
      <c r="I60" s="5">
        <v>0</v>
      </c>
      <c r="J60" s="4">
        <v>45902.691157407404</v>
      </c>
    </row>
    <row r="61" spans="1:10" x14ac:dyDescent="0.2">
      <c r="A61" s="2" t="s">
        <v>10</v>
      </c>
      <c r="B61" s="3" t="str">
        <f t="shared" si="7"/>
        <v>Email Abilify Maintena 960 mg En pratique_FR-AM2-2400045</v>
      </c>
      <c r="C61" s="3" t="str">
        <f>HYPERLINK("https://otsuka-europe-crm.veevavault.com/ui/#object/sent_email__v/VBLZ025E82GDHG9", "SE-000255153")</f>
        <v>SE-000255153</v>
      </c>
      <c r="D61" s="4">
        <v>45904.751250000001</v>
      </c>
      <c r="E61" s="5">
        <v>1</v>
      </c>
      <c r="F61" s="5">
        <v>2</v>
      </c>
      <c r="G61" s="5">
        <v>0</v>
      </c>
      <c r="H61" s="4" t="s">
        <v>11</v>
      </c>
      <c r="I61" s="5">
        <v>0</v>
      </c>
      <c r="J61" s="4">
        <v>45902.704733796294</v>
      </c>
    </row>
    <row r="62" spans="1:10" x14ac:dyDescent="0.2">
      <c r="A62" s="2" t="s">
        <v>10</v>
      </c>
      <c r="B62" s="3" t="str">
        <f t="shared" si="7"/>
        <v>Email Abilify Maintena 960 mg En pratique_FR-AM2-2400045</v>
      </c>
      <c r="C62" s="3" t="str">
        <f>HYPERLINK("https://otsuka-europe-crm.veevavault.com/ui/#object/sent_email__v/VBLZ025E82GDHJ1", "SE-000255155")</f>
        <v>SE-000255155</v>
      </c>
      <c r="D62" s="4" t="s">
        <v>11</v>
      </c>
      <c r="E62" s="5">
        <v>0</v>
      </c>
      <c r="F62" s="5">
        <v>0</v>
      </c>
      <c r="G62" s="5">
        <v>0</v>
      </c>
      <c r="H62" s="4" t="s">
        <v>11</v>
      </c>
      <c r="I62" s="5">
        <v>0</v>
      </c>
      <c r="J62" s="4">
        <v>45902.705358796295</v>
      </c>
    </row>
    <row r="63" spans="1:10" x14ac:dyDescent="0.2">
      <c r="A63" s="2" t="s">
        <v>10</v>
      </c>
      <c r="B63" s="3" t="str">
        <f t="shared" si="7"/>
        <v>Email Abilify Maintena 960 mg En pratique_FR-AM2-2400045</v>
      </c>
      <c r="C63" s="3" t="str">
        <f>HYPERLINK("https://otsuka-europe-crm.veevavault.com/ui/#object/sent_email__v/VBLZ025E82GDVKM", "SE-000255199")</f>
        <v>SE-000255199</v>
      </c>
      <c r="D63" s="4" t="s">
        <v>11</v>
      </c>
      <c r="E63" s="5">
        <v>0</v>
      </c>
      <c r="F63" s="5">
        <v>0</v>
      </c>
      <c r="G63" s="5">
        <v>0</v>
      </c>
      <c r="H63" s="4" t="s">
        <v>11</v>
      </c>
      <c r="I63" s="5">
        <v>0</v>
      </c>
      <c r="J63" s="4">
        <v>45903.455312500002</v>
      </c>
    </row>
    <row r="64" spans="1:10" x14ac:dyDescent="0.2">
      <c r="A64" s="2" t="s">
        <v>10</v>
      </c>
      <c r="B64" s="3" t="str">
        <f t="shared" si="7"/>
        <v>Email Abilify Maintena 960 mg En pratique_FR-AM2-2400045</v>
      </c>
      <c r="C64" s="3" t="str">
        <f>HYPERLINK("https://otsuka-europe-crm.veevavault.com/ui/#object/sent_email__v/VBLZ025E82GESLH", "SE-000255239")</f>
        <v>SE-000255239</v>
      </c>
      <c r="D64" s="4">
        <v>45904.470891203702</v>
      </c>
      <c r="E64" s="5">
        <v>1</v>
      </c>
      <c r="F64" s="5">
        <v>1</v>
      </c>
      <c r="G64" s="5">
        <v>1</v>
      </c>
      <c r="H64" s="4">
        <v>45904.471041666664</v>
      </c>
      <c r="I64" s="5">
        <v>1</v>
      </c>
      <c r="J64" s="4">
        <v>45904.326805555553</v>
      </c>
    </row>
    <row r="65" spans="1:10" x14ac:dyDescent="0.2">
      <c r="A65" s="2" t="s">
        <v>10</v>
      </c>
      <c r="B65" s="3" t="str">
        <f t="shared" si="7"/>
        <v>Email Abilify Maintena 960 mg En pratique_FR-AM2-2400045</v>
      </c>
      <c r="C65" s="3" t="str">
        <f>HYPERLINK("https://otsuka-europe-crm.veevavault.com/ui/#object/sent_email__v/VBLZ025E82GESO9", "SE-000255240")</f>
        <v>SE-000255240</v>
      </c>
      <c r="D65" s="4" t="s">
        <v>11</v>
      </c>
      <c r="E65" s="5">
        <v>0</v>
      </c>
      <c r="F65" s="5">
        <v>0</v>
      </c>
      <c r="G65" s="5">
        <v>0</v>
      </c>
      <c r="H65" s="4" t="s">
        <v>11</v>
      </c>
      <c r="I65" s="5">
        <v>0</v>
      </c>
      <c r="J65" s="4">
        <v>45904.326979166668</v>
      </c>
    </row>
    <row r="66" spans="1:10" x14ac:dyDescent="0.2">
      <c r="A66" s="2" t="s">
        <v>10</v>
      </c>
      <c r="B66" s="3" t="str">
        <f t="shared" si="7"/>
        <v>Email Abilify Maintena 960 mg En pratique_FR-AM2-2400045</v>
      </c>
      <c r="C66" s="3" t="str">
        <f>HYPERLINK("https://otsuka-europe-crm.veevavault.com/ui/#object/sent_email__v/VBLZ025E82GESR1", "SE-000255241")</f>
        <v>SE-000255241</v>
      </c>
      <c r="D66" s="4">
        <v>45904.515451388892</v>
      </c>
      <c r="E66" s="5">
        <v>1</v>
      </c>
      <c r="F66" s="5">
        <v>2</v>
      </c>
      <c r="G66" s="5">
        <v>0</v>
      </c>
      <c r="H66" s="4" t="s">
        <v>11</v>
      </c>
      <c r="I66" s="5">
        <v>0</v>
      </c>
      <c r="J66" s="4">
        <v>45904.327268518522</v>
      </c>
    </row>
    <row r="67" spans="1:10" x14ac:dyDescent="0.2">
      <c r="A67" s="2" t="s">
        <v>10</v>
      </c>
      <c r="B67" s="3" t="str">
        <f t="shared" si="7"/>
        <v>Email Abilify Maintena 960 mg En pratique_FR-AM2-2400045</v>
      </c>
      <c r="C67" s="3" t="str">
        <f>HYPERLINK("https://otsuka-europe-crm.veevavault.com/ui/#object/sent_email__v/VBLZ025E82GFGIL", "SE-000255373")</f>
        <v>SE-000255373</v>
      </c>
      <c r="D67" s="4">
        <v>45905.31355324074</v>
      </c>
      <c r="E67" s="5">
        <v>1</v>
      </c>
      <c r="F67" s="5">
        <v>4</v>
      </c>
      <c r="G67" s="5">
        <v>0</v>
      </c>
      <c r="H67" s="4" t="s">
        <v>11</v>
      </c>
      <c r="I67" s="5">
        <v>0</v>
      </c>
      <c r="J67" s="4">
        <v>45904.608576388891</v>
      </c>
    </row>
    <row r="68" spans="1:10" x14ac:dyDescent="0.2">
      <c r="A68" s="2" t="s">
        <v>10</v>
      </c>
      <c r="B68" s="3" t="str">
        <f t="shared" si="7"/>
        <v>Email Abilify Maintena 960 mg En pratique_FR-AM2-2400045</v>
      </c>
      <c r="C68" s="3" t="str">
        <f>HYPERLINK("https://otsuka-europe-crm.veevavault.com/ui/#object/sent_email__v/VBLZ025E82GFGO5", "SE-000255374")</f>
        <v>SE-000255374</v>
      </c>
      <c r="D68" s="4">
        <v>45905.313530092593</v>
      </c>
      <c r="E68" s="5">
        <v>1</v>
      </c>
      <c r="F68" s="5">
        <v>2</v>
      </c>
      <c r="G68" s="5">
        <v>0</v>
      </c>
      <c r="H68" s="4" t="s">
        <v>11</v>
      </c>
      <c r="I68" s="5">
        <v>0</v>
      </c>
      <c r="J68" s="4">
        <v>45904.609525462962</v>
      </c>
    </row>
    <row r="69" spans="1:10" x14ac:dyDescent="0.2">
      <c r="A69" s="2" t="s">
        <v>10</v>
      </c>
      <c r="B69" s="3" t="str">
        <f t="shared" si="7"/>
        <v>Email Abilify Maintena 960 mg En pratique_FR-AM2-2400045</v>
      </c>
      <c r="C69" s="3" t="str">
        <f>HYPERLINK("https://otsuka-europe-crm.veevavault.com/ui/#object/sent_email__v/VBLZ025E82GFGQX", "SE-000255375")</f>
        <v>SE-000255375</v>
      </c>
      <c r="D69" s="4" t="s">
        <v>11</v>
      </c>
      <c r="E69" s="5">
        <v>0</v>
      </c>
      <c r="F69" s="5">
        <v>0</v>
      </c>
      <c r="G69" s="5">
        <v>0</v>
      </c>
      <c r="H69" s="4" t="s">
        <v>11</v>
      </c>
      <c r="I69" s="5">
        <v>0</v>
      </c>
      <c r="J69" s="4">
        <v>45904.610277777778</v>
      </c>
    </row>
    <row r="70" spans="1:10" x14ac:dyDescent="0.2">
      <c r="A70" s="2" t="s">
        <v>10</v>
      </c>
      <c r="B70" s="3" t="str">
        <f t="shared" si="7"/>
        <v>Email Abilify Maintena 960 mg En pratique_FR-AM2-2400045</v>
      </c>
      <c r="C70" s="3" t="str">
        <f>HYPERLINK("https://otsuka-europe-crm.veevavault.com/ui/#object/sent_email__v/VBLZ025E82GFGWH", "SE-000255376")</f>
        <v>SE-000255376</v>
      </c>
      <c r="D70" s="4" t="s">
        <v>11</v>
      </c>
      <c r="E70" s="5">
        <v>0</v>
      </c>
      <c r="F70" s="5">
        <v>0</v>
      </c>
      <c r="G70" s="5">
        <v>0</v>
      </c>
      <c r="H70" s="4" t="s">
        <v>11</v>
      </c>
      <c r="I70" s="5">
        <v>0</v>
      </c>
      <c r="J70" s="4">
        <v>45904.610844907409</v>
      </c>
    </row>
    <row r="71" spans="1:10" x14ac:dyDescent="0.2">
      <c r="A71" s="2" t="s">
        <v>10</v>
      </c>
      <c r="B71" s="3" t="str">
        <f t="shared" si="7"/>
        <v>Email Abilify Maintena 960 mg En pratique_FR-AM2-2400045</v>
      </c>
      <c r="C71" s="3" t="str">
        <f>HYPERLINK("https://otsuka-europe-crm.veevavault.com/ui/#object/sent_email__v/VBLZ025E82GFGZ9", "SE-000255377")</f>
        <v>SE-000255377</v>
      </c>
      <c r="D71" s="4">
        <v>45921.974108796298</v>
      </c>
      <c r="E71" s="5">
        <v>1</v>
      </c>
      <c r="F71" s="5">
        <v>2</v>
      </c>
      <c r="G71" s="5">
        <v>0</v>
      </c>
      <c r="H71" s="4" t="s">
        <v>11</v>
      </c>
      <c r="I71" s="5">
        <v>0</v>
      </c>
      <c r="J71" s="4">
        <v>45904.611550925925</v>
      </c>
    </row>
    <row r="72" spans="1:10" x14ac:dyDescent="0.2">
      <c r="A72" s="2" t="s">
        <v>10</v>
      </c>
      <c r="B72" s="3" t="str">
        <f t="shared" si="7"/>
        <v>Email Abilify Maintena 960 mg En pratique_FR-AM2-2400045</v>
      </c>
      <c r="C72" s="3" t="str">
        <f>HYPERLINK("https://otsuka-europe-crm.veevavault.com/ui/#object/sent_email__v/VBLZ025E82GHR5L", "SE-000255535")</f>
        <v>SE-000255535</v>
      </c>
      <c r="D72" s="4" t="s">
        <v>11</v>
      </c>
      <c r="E72" s="5">
        <v>0</v>
      </c>
      <c r="F72" s="5">
        <v>0</v>
      </c>
      <c r="G72" s="5">
        <v>0</v>
      </c>
      <c r="H72" s="4" t="s">
        <v>11</v>
      </c>
      <c r="I72" s="5">
        <v>0</v>
      </c>
      <c r="J72" s="4">
        <v>45908.616180555553</v>
      </c>
    </row>
    <row r="73" spans="1:10" x14ac:dyDescent="0.2">
      <c r="A73" s="2" t="s">
        <v>10</v>
      </c>
      <c r="B73" s="3" t="str">
        <f t="shared" si="7"/>
        <v>Email Abilify Maintena 960 mg En pratique_FR-AM2-2400045</v>
      </c>
      <c r="C73" s="3" t="str">
        <f>HYPERLINK("https://otsuka-europe-crm.veevavault.com/ui/#object/sent_email__v/VBLZ025E82GIAR5", "SE-000255592")</f>
        <v>SE-000255592</v>
      </c>
      <c r="D73" s="4" t="s">
        <v>11</v>
      </c>
      <c r="E73" s="5">
        <v>0</v>
      </c>
      <c r="F73" s="5">
        <v>0</v>
      </c>
      <c r="G73" s="5">
        <v>0</v>
      </c>
      <c r="H73" s="4" t="s">
        <v>11</v>
      </c>
      <c r="I73" s="5">
        <v>0</v>
      </c>
      <c r="J73" s="4">
        <v>45909.365185185183</v>
      </c>
    </row>
    <row r="74" spans="1:10" x14ac:dyDescent="0.2">
      <c r="A74" s="2" t="s">
        <v>10</v>
      </c>
      <c r="B74" s="3" t="str">
        <f t="shared" si="7"/>
        <v>Email Abilify Maintena 960 mg En pratique_FR-AM2-2400045</v>
      </c>
      <c r="C74" s="3" t="str">
        <f>HYPERLINK("https://otsuka-europe-crm.veevavault.com/ui/#object/sent_email__v/VBLZ025E82GIMSH", "SE-000255609")</f>
        <v>SE-000255609</v>
      </c>
      <c r="D74" s="4">
        <v>45910.367962962962</v>
      </c>
      <c r="E74" s="5">
        <v>1</v>
      </c>
      <c r="F74" s="5">
        <v>2</v>
      </c>
      <c r="G74" s="5">
        <v>0</v>
      </c>
      <c r="H74" s="4" t="s">
        <v>11</v>
      </c>
      <c r="I74" s="5">
        <v>0</v>
      </c>
      <c r="J74" s="4">
        <v>45909.487395833334</v>
      </c>
    </row>
    <row r="75" spans="1:10" x14ac:dyDescent="0.2">
      <c r="A75" s="2" t="s">
        <v>10</v>
      </c>
      <c r="B75" s="3" t="str">
        <f t="shared" si="7"/>
        <v>Email Abilify Maintena 960 mg En pratique_FR-AM2-2400045</v>
      </c>
      <c r="C75" s="3" t="str">
        <f>HYPERLINK("https://otsuka-europe-crm.veevavault.com/ui/#object/sent_email__v/VBLZ025E82GIN3L", "SE-000255611")</f>
        <v>SE-000255611</v>
      </c>
      <c r="D75" s="4">
        <v>45912.031481481485</v>
      </c>
      <c r="E75" s="5">
        <v>1</v>
      </c>
      <c r="F75" s="5">
        <v>1</v>
      </c>
      <c r="G75" s="5">
        <v>0</v>
      </c>
      <c r="H75" s="4" t="s">
        <v>11</v>
      </c>
      <c r="I75" s="5">
        <v>0</v>
      </c>
      <c r="J75" s="4">
        <v>45909.489745370367</v>
      </c>
    </row>
    <row r="76" spans="1:10" x14ac:dyDescent="0.2">
      <c r="A76" s="2" t="s">
        <v>10</v>
      </c>
      <c r="B76" s="3" t="str">
        <f t="shared" si="7"/>
        <v>Email Abilify Maintena 960 mg En pratique_FR-AM2-2400045</v>
      </c>
      <c r="C76" s="3" t="str">
        <f>HYPERLINK("https://otsuka-europe-crm.veevavault.com/ui/#object/sent_email__v/VBLZ025E82GISCH", "SE-000255625")</f>
        <v>SE-000255625</v>
      </c>
      <c r="D76" s="4" t="s">
        <v>11</v>
      </c>
      <c r="E76" s="5">
        <v>0</v>
      </c>
      <c r="F76" s="5">
        <v>0</v>
      </c>
      <c r="G76" s="5">
        <v>0</v>
      </c>
      <c r="H76" s="4" t="s">
        <v>11</v>
      </c>
      <c r="I76" s="5">
        <v>0</v>
      </c>
      <c r="J76" s="4">
        <v>45909.561712962961</v>
      </c>
    </row>
    <row r="77" spans="1:10" x14ac:dyDescent="0.2">
      <c r="A77" s="2" t="s">
        <v>10</v>
      </c>
      <c r="B77" s="3" t="str">
        <f t="shared" si="7"/>
        <v>Email Abilify Maintena 960 mg En pratique_FR-AM2-2400045</v>
      </c>
      <c r="C77" s="3" t="str">
        <f>HYPERLINK("https://otsuka-europe-crm.veevavault.com/ui/#object/sent_email__v/VBLZ025E82GJIT9", "SE-000255674")</f>
        <v>SE-000255674</v>
      </c>
      <c r="D77" s="4" t="s">
        <v>11</v>
      </c>
      <c r="E77" s="5">
        <v>0</v>
      </c>
      <c r="F77" s="5">
        <v>0</v>
      </c>
      <c r="G77" s="5">
        <v>0</v>
      </c>
      <c r="H77" s="4" t="s">
        <v>11</v>
      </c>
      <c r="I77" s="5">
        <v>0</v>
      </c>
      <c r="J77" s="4">
        <v>45910.380358796298</v>
      </c>
    </row>
    <row r="78" spans="1:10" x14ac:dyDescent="0.2">
      <c r="A78" s="2" t="s">
        <v>10</v>
      </c>
      <c r="B78" s="3" t="str">
        <f t="shared" si="7"/>
        <v>Email Abilify Maintena 960 mg En pratique_FR-AM2-2400045</v>
      </c>
      <c r="C78" s="3" t="str">
        <f>HYPERLINK("https://otsuka-europe-crm.veevavault.com/ui/#object/sent_email__v/VBLZ025E82GJIYT", "SE-000255676")</f>
        <v>SE-000255676</v>
      </c>
      <c r="D78" s="4">
        <v>45910.388611111113</v>
      </c>
      <c r="E78" s="5">
        <v>1</v>
      </c>
      <c r="F78" s="5">
        <v>1</v>
      </c>
      <c r="G78" s="5">
        <v>0</v>
      </c>
      <c r="H78" s="4" t="s">
        <v>11</v>
      </c>
      <c r="I78" s="5">
        <v>0</v>
      </c>
      <c r="J78" s="4">
        <v>45910.380868055552</v>
      </c>
    </row>
    <row r="79" spans="1:10" x14ac:dyDescent="0.2">
      <c r="A79" s="2" t="s">
        <v>10</v>
      </c>
      <c r="B79" s="3" t="str">
        <f t="shared" si="7"/>
        <v>Email Abilify Maintena 960 mg En pratique_FR-AM2-2400045</v>
      </c>
      <c r="C79" s="3" t="str">
        <f>HYPERLINK("https://otsuka-europe-crm.veevavault.com/ui/#object/sent_email__v/VBLZ025E82GJJ1L", "SE-000255677")</f>
        <v>SE-000255677</v>
      </c>
      <c r="D79" s="4">
        <v>45911.599340277775</v>
      </c>
      <c r="E79" s="5">
        <v>1</v>
      </c>
      <c r="F79" s="5">
        <v>1</v>
      </c>
      <c r="G79" s="5">
        <v>0</v>
      </c>
      <c r="H79" s="4" t="s">
        <v>11</v>
      </c>
      <c r="I79" s="5">
        <v>0</v>
      </c>
      <c r="J79" s="4">
        <v>45910.381319444445</v>
      </c>
    </row>
    <row r="80" spans="1:10" x14ac:dyDescent="0.2">
      <c r="A80" s="2" t="s">
        <v>10</v>
      </c>
      <c r="B80" s="3" t="str">
        <f t="shared" si="7"/>
        <v>Email Abilify Maintena 960 mg En pratique_FR-AM2-2400045</v>
      </c>
      <c r="C80" s="3" t="str">
        <f>HYPERLINK("https://otsuka-europe-crm.veevavault.com/ui/#object/sent_email__v/VBLZ025E82GK6KT", "SE-000255713")</f>
        <v>SE-000255713</v>
      </c>
      <c r="D80" s="4">
        <v>45910.703750000001</v>
      </c>
      <c r="E80" s="5">
        <v>1</v>
      </c>
      <c r="F80" s="5">
        <v>3</v>
      </c>
      <c r="G80" s="5">
        <v>0</v>
      </c>
      <c r="H80" s="4" t="s">
        <v>11</v>
      </c>
      <c r="I80" s="5">
        <v>0</v>
      </c>
      <c r="J80" s="4">
        <v>45910.678831018522</v>
      </c>
    </row>
    <row r="81" spans="1:10" x14ac:dyDescent="0.2">
      <c r="A81" s="2" t="s">
        <v>10</v>
      </c>
      <c r="B81" s="3" t="str">
        <f t="shared" si="7"/>
        <v>Email Abilify Maintena 960 mg En pratique_FR-AM2-2400045</v>
      </c>
      <c r="C81" s="3" t="str">
        <f>HYPERLINK("https://otsuka-europe-crm.veevavault.com/ui/#object/sent_email__v/VBLZ025E82GL1IP", "SE-000255841")</f>
        <v>SE-000255841</v>
      </c>
      <c r="D81" s="4" t="s">
        <v>11</v>
      </c>
      <c r="E81" s="5">
        <v>0</v>
      </c>
      <c r="F81" s="5">
        <v>0</v>
      </c>
      <c r="G81" s="5">
        <v>0</v>
      </c>
      <c r="H81" s="4" t="s">
        <v>11</v>
      </c>
      <c r="I81" s="5">
        <v>0</v>
      </c>
      <c r="J81" s="4">
        <v>45911.553530092591</v>
      </c>
    </row>
    <row r="82" spans="1:10" x14ac:dyDescent="0.2">
      <c r="A82" s="2" t="s">
        <v>10</v>
      </c>
      <c r="B82" s="3" t="str">
        <f t="shared" si="7"/>
        <v>Email Abilify Maintena 960 mg En pratique_FR-AM2-2400045</v>
      </c>
      <c r="C82" s="3" t="str">
        <f>HYPERLINK("https://otsuka-europe-crm.veevavault.com/ui/#object/sent_email__v/VBLZ025E82GMF7L", "SE-000266877")</f>
        <v>SE-000266877</v>
      </c>
      <c r="D82" s="4">
        <v>45912.616226851853</v>
      </c>
      <c r="E82" s="5">
        <v>1</v>
      </c>
      <c r="F82" s="5">
        <v>1</v>
      </c>
      <c r="G82" s="5">
        <v>0</v>
      </c>
      <c r="H82" s="4" t="s">
        <v>11</v>
      </c>
      <c r="I82" s="5">
        <v>0</v>
      </c>
      <c r="J82" s="4">
        <v>45912.54614583333</v>
      </c>
    </row>
    <row r="83" spans="1:10" x14ac:dyDescent="0.2">
      <c r="A83" s="2" t="s">
        <v>10</v>
      </c>
      <c r="B83" s="3" t="str">
        <f t="shared" si="7"/>
        <v>Email Abilify Maintena 960 mg En pratique_FR-AM2-2400045</v>
      </c>
      <c r="C83" s="3" t="str">
        <f>HYPERLINK("https://otsuka-europe-crm.veevavault.com/ui/#object/sent_email__v/VBLZ025E82GMFWL", "SE-000266881")</f>
        <v>SE-000266881</v>
      </c>
      <c r="D83" s="4" t="s">
        <v>11</v>
      </c>
      <c r="E83" s="5">
        <v>0</v>
      </c>
      <c r="F83" s="5">
        <v>0</v>
      </c>
      <c r="G83" s="5">
        <v>0</v>
      </c>
      <c r="H83" s="4" t="s">
        <v>11</v>
      </c>
      <c r="I83" s="5">
        <v>0</v>
      </c>
      <c r="J83" s="4">
        <v>45912.546990740739</v>
      </c>
    </row>
    <row r="84" spans="1:10" x14ac:dyDescent="0.2">
      <c r="A84" s="2" t="s">
        <v>10</v>
      </c>
      <c r="B84" s="3" t="str">
        <f t="shared" si="7"/>
        <v>Email Abilify Maintena 960 mg En pratique_FR-AM2-2400045</v>
      </c>
      <c r="C84" s="3" t="str">
        <f>HYPERLINK("https://otsuka-europe-crm.veevavault.com/ui/#object/sent_email__v/VBLZ025E82GRNSH", "SE-000275955")</f>
        <v>SE-000275955</v>
      </c>
      <c r="D84" s="4" t="s">
        <v>11</v>
      </c>
      <c r="E84" s="5">
        <v>0</v>
      </c>
      <c r="F84" s="5">
        <v>0</v>
      </c>
      <c r="G84" s="5">
        <v>0</v>
      </c>
      <c r="H84" s="4" t="s">
        <v>11</v>
      </c>
      <c r="I84" s="5">
        <v>0</v>
      </c>
      <c r="J84" s="4">
        <v>45917.614131944443</v>
      </c>
    </row>
    <row r="85" spans="1:10" x14ac:dyDescent="0.2">
      <c r="A85" s="2" t="s">
        <v>10</v>
      </c>
      <c r="B85" s="3" t="str">
        <f t="shared" si="7"/>
        <v>Email Abilify Maintena 960 mg En pratique_FR-AM2-2400045</v>
      </c>
      <c r="C85" s="3" t="str">
        <f>HYPERLINK("https://otsuka-europe-crm.veevavault.com/ui/#object/sent_email__v/VBLZ025E82GRNV9", "SE-000275956")</f>
        <v>SE-000275956</v>
      </c>
      <c r="D85" s="4" t="s">
        <v>11</v>
      </c>
      <c r="E85" s="5">
        <v>0</v>
      </c>
      <c r="F85" s="5">
        <v>0</v>
      </c>
      <c r="G85" s="5">
        <v>0</v>
      </c>
      <c r="H85" s="4" t="s">
        <v>11</v>
      </c>
      <c r="I85" s="5">
        <v>0</v>
      </c>
      <c r="J85" s="4">
        <v>45917.614444444444</v>
      </c>
    </row>
    <row r="86" spans="1:10" x14ac:dyDescent="0.2">
      <c r="A86" s="2" t="s">
        <v>10</v>
      </c>
      <c r="B86" s="3" t="str">
        <f t="shared" si="7"/>
        <v>Email Abilify Maintena 960 mg En pratique_FR-AM2-2400045</v>
      </c>
      <c r="C86" s="3" t="str">
        <f>HYPERLINK("https://otsuka-europe-crm.veevavault.com/ui/#object/sent_email__v/VBLZ025E82GTE4X", "SE-000276678")</f>
        <v>SE-000276678</v>
      </c>
      <c r="D86" s="4" t="s">
        <v>11</v>
      </c>
      <c r="E86" s="5">
        <v>0</v>
      </c>
      <c r="F86" s="5">
        <v>0</v>
      </c>
      <c r="G86" s="5">
        <v>0</v>
      </c>
      <c r="H86" s="4" t="s">
        <v>11</v>
      </c>
      <c r="I86" s="5">
        <v>0</v>
      </c>
      <c r="J86" s="4">
        <v>45918.629189814812</v>
      </c>
    </row>
    <row r="87" spans="1:10" x14ac:dyDescent="0.2">
      <c r="A87" s="2" t="s">
        <v>10</v>
      </c>
      <c r="B87" s="3" t="str">
        <f t="shared" si="7"/>
        <v>Email Abilify Maintena 960 mg En pratique_FR-AM2-2400045</v>
      </c>
      <c r="C87" s="3" t="str">
        <f>HYPERLINK("https://otsuka-europe-crm.veevavault.com/ui/#object/sent_email__v/VBLZ025E82GTE7P", "SE-000276679")</f>
        <v>SE-000276679</v>
      </c>
      <c r="D87" s="4" t="s">
        <v>11</v>
      </c>
      <c r="E87" s="5">
        <v>0</v>
      </c>
      <c r="F87" s="5">
        <v>0</v>
      </c>
      <c r="G87" s="5">
        <v>0</v>
      </c>
      <c r="H87" s="4" t="s">
        <v>11</v>
      </c>
      <c r="I87" s="5">
        <v>0</v>
      </c>
      <c r="J87" s="4">
        <v>45918.629502314812</v>
      </c>
    </row>
    <row r="88" spans="1:10" x14ac:dyDescent="0.2">
      <c r="A88" s="2" t="s">
        <v>10</v>
      </c>
      <c r="B88" s="3" t="str">
        <f t="shared" si="7"/>
        <v>Email Abilify Maintena 960 mg En pratique_FR-AM2-2400045</v>
      </c>
      <c r="C88" s="3" t="str">
        <f>HYPERLINK("https://otsuka-europe-crm.veevavault.com/ui/#object/sent_email__v/VBLZ025E82GTEAH", "SE-000276680")</f>
        <v>SE-000276680</v>
      </c>
      <c r="D88" s="4" t="s">
        <v>11</v>
      </c>
      <c r="E88" s="5">
        <v>0</v>
      </c>
      <c r="F88" s="5">
        <v>0</v>
      </c>
      <c r="G88" s="5">
        <v>0</v>
      </c>
      <c r="H88" s="4" t="s">
        <v>11</v>
      </c>
      <c r="I88" s="5">
        <v>0</v>
      </c>
      <c r="J88" s="4">
        <v>45918.629664351851</v>
      </c>
    </row>
    <row r="89" spans="1:10" x14ac:dyDescent="0.2">
      <c r="A89" s="2" t="s">
        <v>10</v>
      </c>
      <c r="B89" s="3" t="str">
        <f t="shared" si="7"/>
        <v>Email Abilify Maintena 960 mg En pratique_FR-AM2-2400045</v>
      </c>
      <c r="C89" s="3" t="str">
        <f>HYPERLINK("https://otsuka-europe-crm.veevavault.com/ui/#object/sent_email__v/VBLZ025E82GTCD2", "SE-000276681")</f>
        <v>SE-000276681</v>
      </c>
      <c r="D89" s="4" t="s">
        <v>11</v>
      </c>
      <c r="E89" s="5">
        <v>0</v>
      </c>
      <c r="F89" s="5">
        <v>0</v>
      </c>
      <c r="G89" s="5">
        <v>0</v>
      </c>
      <c r="H89" s="4" t="s">
        <v>11</v>
      </c>
      <c r="I89" s="5">
        <v>0</v>
      </c>
      <c r="J89" s="4">
        <v>45918.629861111112</v>
      </c>
    </row>
    <row r="90" spans="1:10" x14ac:dyDescent="0.2">
      <c r="A90" s="2" t="s">
        <v>10</v>
      </c>
      <c r="B90" s="3" t="str">
        <f t="shared" si="7"/>
        <v>Email Abilify Maintena 960 mg En pratique_FR-AM2-2400045</v>
      </c>
      <c r="C90" s="3" t="str">
        <f>HYPERLINK("https://otsuka-europe-crm.veevavault.com/ui/#object/sent_email__v/VBLZ025E82GUWAX", "SE-000277593")</f>
        <v>SE-000277593</v>
      </c>
      <c r="D90" s="4" t="s">
        <v>11</v>
      </c>
      <c r="E90" s="5">
        <v>0</v>
      </c>
      <c r="F90" s="5">
        <v>0</v>
      </c>
      <c r="G90" s="5">
        <v>0</v>
      </c>
      <c r="H90" s="4" t="s">
        <v>11</v>
      </c>
      <c r="I90" s="5">
        <v>0</v>
      </c>
      <c r="J90" s="4">
        <v>45919.635150462964</v>
      </c>
    </row>
    <row r="91" spans="1:10" x14ac:dyDescent="0.2">
      <c r="A91" s="2" t="s">
        <v>10</v>
      </c>
      <c r="B91" s="3" t="str">
        <f t="shared" si="7"/>
        <v>Email Abilify Maintena 960 mg En pratique_FR-AM2-2400045</v>
      </c>
      <c r="C91" s="3" t="str">
        <f>HYPERLINK("https://otsuka-europe-crm.veevavault.com/ui/#object/sent_email__v/VBLZ025E82GWO1D", "SE-000279770")</f>
        <v>SE-000279770</v>
      </c>
      <c r="D91" s="4" t="s">
        <v>11</v>
      </c>
      <c r="E91" s="5">
        <v>0</v>
      </c>
      <c r="F91" s="5">
        <v>0</v>
      </c>
      <c r="G91" s="5">
        <v>0</v>
      </c>
      <c r="H91" s="4" t="s">
        <v>11</v>
      </c>
      <c r="I91" s="5">
        <v>0</v>
      </c>
      <c r="J91" s="4">
        <v>45922.768368055556</v>
      </c>
    </row>
    <row r="92" spans="1:10" x14ac:dyDescent="0.2">
      <c r="A92" s="2" t="s">
        <v>10</v>
      </c>
      <c r="B92" s="3" t="str">
        <f t="shared" si="7"/>
        <v>Email Abilify Maintena 960 mg En pratique_FR-AM2-2400045</v>
      </c>
      <c r="C92" s="3" t="str">
        <f>HYPERLINK("https://otsuka-europe-crm.veevavault.com/ui/#object/sent_email__v/VBLZ025E82GXFQM", "SE-000280188")</f>
        <v>SE-000280188</v>
      </c>
      <c r="D92" s="4">
        <v>45924.585995370369</v>
      </c>
      <c r="E92" s="5">
        <v>1</v>
      </c>
      <c r="F92" s="5">
        <v>2</v>
      </c>
      <c r="G92" s="5">
        <v>0</v>
      </c>
      <c r="H92" s="4" t="s">
        <v>11</v>
      </c>
      <c r="I92" s="5">
        <v>0</v>
      </c>
      <c r="J92" s="4">
        <v>45923.57298611111</v>
      </c>
    </row>
    <row r="93" spans="1:10" x14ac:dyDescent="0.2">
      <c r="A93" s="2" t="s">
        <v>10</v>
      </c>
      <c r="B93" s="3" t="str">
        <f t="shared" si="7"/>
        <v>Email Abilify Maintena 960 mg En pratique_FR-AM2-2400045</v>
      </c>
      <c r="C93" s="3" t="str">
        <f>HYPERLINK("https://otsuka-europe-crm.veevavault.com/ui/#object/sent_email__v/VBLZ025E82GXHA5", "SE-000280189")</f>
        <v>SE-000280189</v>
      </c>
      <c r="D93" s="4" t="s">
        <v>11</v>
      </c>
      <c r="E93" s="5">
        <v>0</v>
      </c>
      <c r="F93" s="5">
        <v>0</v>
      </c>
      <c r="G93" s="5">
        <v>0</v>
      </c>
      <c r="H93" s="4" t="s">
        <v>11</v>
      </c>
      <c r="I93" s="5">
        <v>0</v>
      </c>
      <c r="J93" s="4">
        <v>45923.573379629626</v>
      </c>
    </row>
    <row r="94" spans="1:10" x14ac:dyDescent="0.2">
      <c r="A94" s="2" t="s">
        <v>10</v>
      </c>
      <c r="B94" s="3" t="str">
        <f t="shared" si="7"/>
        <v>Email Abilify Maintena 960 mg En pratique_FR-AM2-2400045</v>
      </c>
      <c r="C94" s="3" t="str">
        <f>HYPERLINK("https://otsuka-europe-crm.veevavault.com/ui/#object/sent_email__v/VBLZ025E82GYCGD", "SE-000280390")</f>
        <v>SE-000280390</v>
      </c>
      <c r="D94" s="4" t="s">
        <v>11</v>
      </c>
      <c r="E94" s="5">
        <v>0</v>
      </c>
      <c r="F94" s="5">
        <v>0</v>
      </c>
      <c r="G94" s="5">
        <v>0</v>
      </c>
      <c r="H94" s="4" t="s">
        <v>11</v>
      </c>
      <c r="I94" s="5">
        <v>0</v>
      </c>
      <c r="J94" s="4">
        <v>45924.441354166665</v>
      </c>
    </row>
    <row r="95" spans="1:10" x14ac:dyDescent="0.2">
      <c r="A95" s="2" t="s">
        <v>10</v>
      </c>
      <c r="B95" s="3" t="str">
        <f t="shared" si="7"/>
        <v>Email Abilify Maintena 960 mg En pratique_FR-AM2-2400045</v>
      </c>
      <c r="C95" s="3" t="str">
        <f>HYPERLINK("https://otsuka-europe-crm.veevavault.com/ui/#object/sent_email__v/VBLZ025E82GZY0L", "SE-000280800")</f>
        <v>SE-000280800</v>
      </c>
      <c r="D95" s="4">
        <v>45925.466736111113</v>
      </c>
      <c r="E95" s="5">
        <v>1</v>
      </c>
      <c r="F95" s="5">
        <v>2</v>
      </c>
      <c r="G95" s="5">
        <v>1</v>
      </c>
      <c r="H95" s="4">
        <v>45925.466736111113</v>
      </c>
      <c r="I95" s="5">
        <v>2</v>
      </c>
      <c r="J95" s="4">
        <v>45925.466574074075</v>
      </c>
    </row>
    <row r="96" spans="1:10" x14ac:dyDescent="0.2">
      <c r="A96" s="2" t="s">
        <v>10</v>
      </c>
      <c r="B96" s="3" t="str">
        <f t="shared" si="7"/>
        <v>Email Abilify Maintena 960 mg En pratique_FR-AM2-2400045</v>
      </c>
      <c r="C96" s="3" t="str">
        <f>HYPERLINK("https://otsuka-europe-crm.veevavault.com/ui/#object/sent_email__v/VBLZ025E82H19BD", "SE-000281033")</f>
        <v>SE-000281033</v>
      </c>
      <c r="D96" s="4" t="s">
        <v>11</v>
      </c>
      <c r="E96" s="5">
        <v>0</v>
      </c>
      <c r="F96" s="5">
        <v>0</v>
      </c>
      <c r="G96" s="5">
        <v>0</v>
      </c>
      <c r="H96" s="4" t="s">
        <v>11</v>
      </c>
      <c r="I96" s="5">
        <v>0</v>
      </c>
      <c r="J96" s="4">
        <v>45926.418715277781</v>
      </c>
    </row>
    <row r="97" spans="1:10" x14ac:dyDescent="0.2">
      <c r="A97" s="2" t="s">
        <v>10</v>
      </c>
      <c r="B97" s="3" t="str">
        <f t="shared" si="7"/>
        <v>Email Abilify Maintena 960 mg En pratique_FR-AM2-2400045</v>
      </c>
      <c r="C97" s="3" t="str">
        <f>HYPERLINK("https://otsuka-europe-crm.veevavault.com/ui/#object/sent_email__v/VBLZ025E82H1X2X", "SE-000281436")</f>
        <v>SE-000281436</v>
      </c>
      <c r="D97" s="4" t="s">
        <v>11</v>
      </c>
      <c r="E97" s="5">
        <v>0</v>
      </c>
      <c r="F97" s="5">
        <v>0</v>
      </c>
      <c r="G97" s="5">
        <v>0</v>
      </c>
      <c r="H97" s="4" t="s">
        <v>11</v>
      </c>
      <c r="I97" s="5">
        <v>0</v>
      </c>
      <c r="J97" s="4">
        <v>45926.615949074076</v>
      </c>
    </row>
    <row r="98" spans="1:10" x14ac:dyDescent="0.2">
      <c r="A98" s="2" t="s">
        <v>10</v>
      </c>
      <c r="B98" s="3" t="str">
        <f t="shared" si="7"/>
        <v>Email Abilify Maintena 960 mg En pratique_FR-AM2-2400045</v>
      </c>
      <c r="C98" s="3" t="str">
        <f>HYPERLINK("https://otsuka-europe-crm.veevavault.com/ui/#object/sent_email__v/VBLZ025E82H1XB9", "SE-000281437")</f>
        <v>SE-000281437</v>
      </c>
      <c r="D98" s="4" t="s">
        <v>11</v>
      </c>
      <c r="E98" s="5">
        <v>0</v>
      </c>
      <c r="F98" s="5">
        <v>0</v>
      </c>
      <c r="G98" s="5">
        <v>0</v>
      </c>
      <c r="H98" s="4" t="s">
        <v>11</v>
      </c>
      <c r="I98" s="5">
        <v>0</v>
      </c>
      <c r="J98" s="4">
        <v>45926.616284722222</v>
      </c>
    </row>
    <row r="99" spans="1:10" x14ac:dyDescent="0.2">
      <c r="A99" s="2" t="s">
        <v>10</v>
      </c>
      <c r="B99" s="3" t="str">
        <f t="shared" si="7"/>
        <v>Email Abilify Maintena 960 mg En pratique_FR-AM2-2400045</v>
      </c>
      <c r="C99" s="3" t="str">
        <f>HYPERLINK("https://otsuka-europe-crm.veevavault.com/ui/#object/sent_email__v/VBLZ025E82H1XGT", "SE-000281438")</f>
        <v>SE-000281438</v>
      </c>
      <c r="D99" s="4" t="s">
        <v>11</v>
      </c>
      <c r="E99" s="5">
        <v>0</v>
      </c>
      <c r="F99" s="5">
        <v>0</v>
      </c>
      <c r="G99" s="5">
        <v>0</v>
      </c>
      <c r="H99" s="4" t="s">
        <v>11</v>
      </c>
      <c r="I99" s="5">
        <v>0</v>
      </c>
      <c r="J99" s="4">
        <v>45926.616631944446</v>
      </c>
    </row>
    <row r="100" spans="1:10" x14ac:dyDescent="0.2">
      <c r="A100" s="2" t="s">
        <v>10</v>
      </c>
      <c r="B100" s="3" t="str">
        <f t="shared" si="7"/>
        <v>Email Abilify Maintena 960 mg En pratique_FR-AM2-2400045</v>
      </c>
      <c r="C100" s="3" t="str">
        <f>HYPERLINK("https://otsuka-europe-crm.veevavault.com/ui/#object/sent_email__v/VBLZ025E82H408H", "SE-000281588")</f>
        <v>SE-000281588</v>
      </c>
      <c r="D100" s="4" t="s">
        <v>11</v>
      </c>
      <c r="E100" s="5">
        <v>0</v>
      </c>
      <c r="F100" s="5">
        <v>0</v>
      </c>
      <c r="G100" s="5">
        <v>0</v>
      </c>
      <c r="H100" s="4" t="s">
        <v>11</v>
      </c>
      <c r="I100" s="5">
        <v>0</v>
      </c>
      <c r="J100" s="4">
        <v>45929.742881944447</v>
      </c>
    </row>
    <row r="101" spans="1:10" x14ac:dyDescent="0.2">
      <c r="A101" s="2" t="s">
        <v>10</v>
      </c>
      <c r="B101" s="3" t="str">
        <f t="shared" si="7"/>
        <v>Email Abilify Maintena 960 mg En pratique_FR-AM2-2400045</v>
      </c>
      <c r="C101" s="3" t="str">
        <f>HYPERLINK("https://otsuka-europe-crm.veevavault.com/ui/#object/sent_email__v/VBLZ025E82H45HD", "SE-000281639")</f>
        <v>SE-000281639</v>
      </c>
      <c r="D101" s="4" t="s">
        <v>11</v>
      </c>
      <c r="E101" s="5">
        <v>0</v>
      </c>
      <c r="F101" s="5">
        <v>0</v>
      </c>
      <c r="G101" s="5">
        <v>0</v>
      </c>
      <c r="H101" s="4" t="s">
        <v>11</v>
      </c>
      <c r="I101" s="5">
        <v>0</v>
      </c>
      <c r="J101" s="4">
        <v>45929.924050925925</v>
      </c>
    </row>
    <row r="102" spans="1:10" x14ac:dyDescent="0.2">
      <c r="A102" s="2" t="s">
        <v>10</v>
      </c>
      <c r="B102" s="3" t="str">
        <f t="shared" si="7"/>
        <v>Email Abilify Maintena 960 mg En pratique_FR-AM2-2400045</v>
      </c>
      <c r="C102" s="3" t="str">
        <f>HYPERLINK("https://otsuka-europe-crm.veevavault.com/ui/#object/sent_email__v/VBLZ025E82H45K5", "SE-000281641")</f>
        <v>SE-000281641</v>
      </c>
      <c r="D102" s="4" t="s">
        <v>11</v>
      </c>
      <c r="E102" s="5">
        <v>0</v>
      </c>
      <c r="F102" s="5">
        <v>0</v>
      </c>
      <c r="G102" s="5">
        <v>0</v>
      </c>
      <c r="H102" s="4" t="s">
        <v>11</v>
      </c>
      <c r="I102" s="5">
        <v>0</v>
      </c>
      <c r="J102" s="4">
        <v>45930.377106481479</v>
      </c>
    </row>
    <row r="103" spans="1:10" x14ac:dyDescent="0.2">
      <c r="A103" s="2" t="s">
        <v>10</v>
      </c>
      <c r="B103" s="3" t="str">
        <f t="shared" si="7"/>
        <v>Email Abilify Maintena 960 mg En pratique_FR-AM2-2400045</v>
      </c>
      <c r="C103" s="3" t="str">
        <f>HYPERLINK("https://otsuka-europe-crm.veevavault.com/ui/#object/sent_email__v/VBLZ025E82H54IH", "SE-000282250")</f>
        <v>SE-000282250</v>
      </c>
      <c r="D103" s="4">
        <v>46070.633634259262</v>
      </c>
      <c r="E103" s="5">
        <v>1</v>
      </c>
      <c r="F103" s="5">
        <v>2</v>
      </c>
      <c r="G103" s="5">
        <v>0</v>
      </c>
      <c r="H103" s="4" t="s">
        <v>11</v>
      </c>
      <c r="I103" s="5">
        <v>0</v>
      </c>
      <c r="J103" s="4">
        <v>45930.567476851851</v>
      </c>
    </row>
    <row r="104" spans="1:10" x14ac:dyDescent="0.2">
      <c r="A104" s="2" t="s">
        <v>10</v>
      </c>
      <c r="B104" s="3" t="str">
        <f t="shared" si="7"/>
        <v>Email Abilify Maintena 960 mg En pratique_FR-AM2-2400045</v>
      </c>
      <c r="C104" s="3" t="str">
        <f>HYPERLINK("https://otsuka-europe-crm.veevavault.com/ui/#object/sent_email__v/VBLZ025E82H5KPT", "SE-000282301")</f>
        <v>SE-000282301</v>
      </c>
      <c r="D104" s="4">
        <v>45931.358553240738</v>
      </c>
      <c r="E104" s="5">
        <v>1</v>
      </c>
      <c r="F104" s="5">
        <v>1</v>
      </c>
      <c r="G104" s="5">
        <v>0</v>
      </c>
      <c r="H104" s="4" t="s">
        <v>11</v>
      </c>
      <c r="I104" s="5">
        <v>0</v>
      </c>
      <c r="J104" s="4">
        <v>45930.686863425923</v>
      </c>
    </row>
    <row r="105" spans="1:10" x14ac:dyDescent="0.2">
      <c r="A105" s="2" t="s">
        <v>10</v>
      </c>
      <c r="B105" s="3" t="str">
        <f t="shared" si="7"/>
        <v>Email Abilify Maintena 960 mg En pratique_FR-AM2-2400045</v>
      </c>
      <c r="C105" s="3" t="str">
        <f>HYPERLINK("https://otsuka-europe-crm.veevavault.com/ui/#object/sent_email__v/VBLZ025E82H8HKT", "SE-000283028")</f>
        <v>SE-000283028</v>
      </c>
      <c r="D105" s="4" t="s">
        <v>11</v>
      </c>
      <c r="E105" s="5">
        <v>0</v>
      </c>
      <c r="F105" s="5">
        <v>0</v>
      </c>
      <c r="G105" s="5">
        <v>0</v>
      </c>
      <c r="H105" s="4" t="s">
        <v>11</v>
      </c>
      <c r="I105" s="5">
        <v>0</v>
      </c>
      <c r="J105" s="4">
        <v>45932.659710648149</v>
      </c>
    </row>
    <row r="106" spans="1:10" x14ac:dyDescent="0.2">
      <c r="A106" s="2" t="s">
        <v>10</v>
      </c>
      <c r="B106" s="3" t="str">
        <f t="shared" si="7"/>
        <v>Email Abilify Maintena 960 mg En pratique_FR-AM2-2400045</v>
      </c>
      <c r="C106" s="3" t="str">
        <f>HYPERLINK("https://otsuka-europe-crm.veevavault.com/ui/#object/sent_email__v/VBLZ025E82HAMQL", "SE-000283355")</f>
        <v>SE-000283355</v>
      </c>
      <c r="D106" s="4">
        <v>45999.759965277779</v>
      </c>
      <c r="E106" s="5">
        <v>1</v>
      </c>
      <c r="F106" s="5">
        <v>4</v>
      </c>
      <c r="G106" s="5">
        <v>0</v>
      </c>
      <c r="H106" s="4" t="s">
        <v>11</v>
      </c>
      <c r="I106" s="5">
        <v>0</v>
      </c>
      <c r="J106" s="4">
        <v>45933.747754629629</v>
      </c>
    </row>
    <row r="107" spans="1:10" x14ac:dyDescent="0.2">
      <c r="A107" s="2" t="s">
        <v>10</v>
      </c>
      <c r="B107" s="3" t="str">
        <f t="shared" si="7"/>
        <v>Email Abilify Maintena 960 mg En pratique_FR-AM2-2400045</v>
      </c>
      <c r="C107" s="3" t="str">
        <f>HYPERLINK("https://otsuka-europe-crm.veevavault.com/ui/#object/sent_email__v/VBLZ025E82HBZCL", "SE-000283624")</f>
        <v>SE-000283624</v>
      </c>
      <c r="D107" s="4">
        <v>46062.365960648145</v>
      </c>
      <c r="E107" s="5">
        <v>1</v>
      </c>
      <c r="F107" s="5">
        <v>26</v>
      </c>
      <c r="G107" s="5">
        <v>0</v>
      </c>
      <c r="H107" s="4" t="s">
        <v>11</v>
      </c>
      <c r="I107" s="5">
        <v>0</v>
      </c>
      <c r="J107" s="4">
        <v>45936.623067129629</v>
      </c>
    </row>
    <row r="108" spans="1:10" x14ac:dyDescent="0.2">
      <c r="A108" s="2" t="s">
        <v>10</v>
      </c>
      <c r="B108" s="3" t="str">
        <f t="shared" si="7"/>
        <v>Email Abilify Maintena 960 mg En pratique_FR-AM2-2400045</v>
      </c>
      <c r="C108" s="3" t="str">
        <f>HYPERLINK("https://otsuka-europe-crm.veevavault.com/ui/#object/sent_email__v/VBLZ025E82HBZI5", "SE-000283625")</f>
        <v>SE-000283625</v>
      </c>
      <c r="D108" s="4">
        <v>45953.52449074074</v>
      </c>
      <c r="E108" s="5">
        <v>1</v>
      </c>
      <c r="F108" s="5">
        <v>2</v>
      </c>
      <c r="G108" s="5">
        <v>0</v>
      </c>
      <c r="H108" s="4" t="s">
        <v>11</v>
      </c>
      <c r="I108" s="5">
        <v>0</v>
      </c>
      <c r="J108" s="4">
        <v>45936.62427083333</v>
      </c>
    </row>
    <row r="109" spans="1:10" x14ac:dyDescent="0.2">
      <c r="A109" s="2" t="s">
        <v>10</v>
      </c>
      <c r="B109" s="3" t="str">
        <f t="shared" si="7"/>
        <v>Email Abilify Maintena 960 mg En pratique_FR-AM2-2400045</v>
      </c>
      <c r="C109" s="3" t="str">
        <f>HYPERLINK("https://otsuka-europe-crm.veevavault.com/ui/#object/sent_email__v/VBLZ025E82HDHIL", "SE-000284374")</f>
        <v>SE-000284374</v>
      </c>
      <c r="D109" s="4">
        <v>45937.559594907405</v>
      </c>
      <c r="E109" s="5">
        <v>1</v>
      </c>
      <c r="F109" s="5">
        <v>1</v>
      </c>
      <c r="G109" s="5">
        <v>0</v>
      </c>
      <c r="H109" s="4" t="s">
        <v>11</v>
      </c>
      <c r="I109" s="5">
        <v>0</v>
      </c>
      <c r="J109" s="4">
        <v>45937.55060185185</v>
      </c>
    </row>
    <row r="110" spans="1:10" x14ac:dyDescent="0.2">
      <c r="A110" s="2" t="s">
        <v>10</v>
      </c>
      <c r="B110" s="3" t="str">
        <f t="shared" si="7"/>
        <v>Email Abilify Maintena 960 mg En pratique_FR-AM2-2400045</v>
      </c>
      <c r="C110" s="3" t="str">
        <f>HYPERLINK("https://otsuka-europe-crm.veevavault.com/ui/#object/sent_email__v/VBLZ025E82HHD6D", "SE-000286447")</f>
        <v>SE-000286447</v>
      </c>
      <c r="D110" s="4" t="s">
        <v>11</v>
      </c>
      <c r="E110" s="5">
        <v>0</v>
      </c>
      <c r="F110" s="5">
        <v>0</v>
      </c>
      <c r="G110" s="5">
        <v>0</v>
      </c>
      <c r="H110" s="4" t="s">
        <v>11</v>
      </c>
      <c r="I110" s="5">
        <v>0</v>
      </c>
      <c r="J110" s="4">
        <v>45940.458460648151</v>
      </c>
    </row>
    <row r="111" spans="1:10" x14ac:dyDescent="0.2">
      <c r="A111" s="2" t="s">
        <v>10</v>
      </c>
      <c r="B111" s="3" t="str">
        <f t="shared" si="7"/>
        <v>Email Abilify Maintena 960 mg En pratique_FR-AM2-2400045</v>
      </c>
      <c r="C111" s="3" t="str">
        <f>HYPERLINK("https://otsuka-europe-crm.veevavault.com/ui/#object/sent_email__v/VBLZ025E82HHDHH", "SE-000286449")</f>
        <v>SE-000286449</v>
      </c>
      <c r="D111" s="4" t="s">
        <v>11</v>
      </c>
      <c r="E111" s="5">
        <v>0</v>
      </c>
      <c r="F111" s="5">
        <v>0</v>
      </c>
      <c r="G111" s="5">
        <v>0</v>
      </c>
      <c r="H111" s="4" t="s">
        <v>11</v>
      </c>
      <c r="I111" s="5">
        <v>0</v>
      </c>
      <c r="J111" s="4">
        <v>45940.459120370368</v>
      </c>
    </row>
    <row r="112" spans="1:10" x14ac:dyDescent="0.2">
      <c r="A112" s="2" t="s">
        <v>10</v>
      </c>
      <c r="B112" s="3" t="str">
        <f t="shared" si="7"/>
        <v>Email Abilify Maintena 960 mg En pratique_FR-AM2-2400045</v>
      </c>
      <c r="C112" s="3" t="str">
        <f>HYPERLINK("https://otsuka-europe-crm.veevavault.com/ui/#object/sent_email__v/VBLZ025E82HHO7L", "SE-000286525")</f>
        <v>SE-000286525</v>
      </c>
      <c r="D112" s="4">
        <v>45946.45648148148</v>
      </c>
      <c r="E112" s="5">
        <v>1</v>
      </c>
      <c r="F112" s="5">
        <v>2</v>
      </c>
      <c r="G112" s="5">
        <v>0</v>
      </c>
      <c r="H112" s="4" t="s">
        <v>11</v>
      </c>
      <c r="I112" s="5">
        <v>0</v>
      </c>
      <c r="J112" s="4">
        <v>45940.588993055557</v>
      </c>
    </row>
    <row r="113" spans="1:10" x14ac:dyDescent="0.2">
      <c r="A113" s="2" t="s">
        <v>10</v>
      </c>
      <c r="B113" s="3" t="str">
        <f t="shared" si="7"/>
        <v>Email Abilify Maintena 960 mg En pratique_FR-AM2-2400045</v>
      </c>
      <c r="C113" s="3" t="str">
        <f>HYPERLINK("https://otsuka-europe-crm.veevavault.com/ui/#object/sent_email__v/VBLZ025E82HHRZP", "SE-000286549")</f>
        <v>SE-000286549</v>
      </c>
      <c r="D113" s="4" t="s">
        <v>11</v>
      </c>
      <c r="E113" s="5">
        <v>0</v>
      </c>
      <c r="F113" s="5">
        <v>0</v>
      </c>
      <c r="G113" s="5">
        <v>0</v>
      </c>
      <c r="H113" s="4" t="s">
        <v>11</v>
      </c>
      <c r="I113" s="5">
        <v>0</v>
      </c>
      <c r="J113" s="4">
        <v>45940.639050925929</v>
      </c>
    </row>
    <row r="114" spans="1:10" x14ac:dyDescent="0.2">
      <c r="A114" s="2" t="s">
        <v>10</v>
      </c>
      <c r="B114" s="3" t="str">
        <f t="shared" si="7"/>
        <v>Email Abilify Maintena 960 mg En pratique_FR-AM2-2400045</v>
      </c>
      <c r="C114" s="3" t="str">
        <f>HYPERLINK("https://otsuka-europe-crm.veevavault.com/ui/#object/sent_email__v/VBLZ025E82HIOPH", "SE-000286790")</f>
        <v>SE-000286790</v>
      </c>
      <c r="D114" s="4" t="s">
        <v>11</v>
      </c>
      <c r="E114" s="5">
        <v>0</v>
      </c>
      <c r="F114" s="5">
        <v>0</v>
      </c>
      <c r="G114" s="5">
        <v>0</v>
      </c>
      <c r="H114" s="4" t="s">
        <v>11</v>
      </c>
      <c r="I114" s="5">
        <v>0</v>
      </c>
      <c r="J114" s="4">
        <v>45944.377210648148</v>
      </c>
    </row>
    <row r="115" spans="1:10" x14ac:dyDescent="0.2">
      <c r="A115" s="2" t="s">
        <v>10</v>
      </c>
      <c r="B115" s="3" t="str">
        <f t="shared" si="7"/>
        <v>Email Abilify Maintena 960 mg En pratique_FR-AM2-2400045</v>
      </c>
      <c r="C115" s="3" t="str">
        <f>HYPERLINK("https://otsuka-europe-crm.veevavault.com/ui/#object/sent_email__v/VBLZ025E82HJ7AX", "SE-000286821")</f>
        <v>SE-000286821</v>
      </c>
      <c r="D115" s="4">
        <v>45943.69599537037</v>
      </c>
      <c r="E115" s="5">
        <v>1</v>
      </c>
      <c r="F115" s="5">
        <v>2</v>
      </c>
      <c r="G115" s="5">
        <v>0</v>
      </c>
      <c r="H115" s="4" t="s">
        <v>11</v>
      </c>
      <c r="I115" s="5">
        <v>0</v>
      </c>
      <c r="J115" s="4">
        <v>45943.678553240738</v>
      </c>
    </row>
    <row r="116" spans="1:10" x14ac:dyDescent="0.2">
      <c r="A116" s="2" t="s">
        <v>10</v>
      </c>
      <c r="B116" s="3" t="str">
        <f t="shared" si="7"/>
        <v>Email Abilify Maintena 960 mg En pratique_FR-AM2-2400045</v>
      </c>
      <c r="C116" s="3" t="str">
        <f>HYPERLINK("https://otsuka-europe-crm.veevavault.com/ui/#object/sent_email__v/VBLZ025E82HJ8JD", "SE-000286834")</f>
        <v>SE-000286834</v>
      </c>
      <c r="D116" s="4" t="s">
        <v>11</v>
      </c>
      <c r="E116" s="5">
        <v>0</v>
      </c>
      <c r="F116" s="5">
        <v>0</v>
      </c>
      <c r="G116" s="5">
        <v>0</v>
      </c>
      <c r="H116" s="4" t="s">
        <v>11</v>
      </c>
      <c r="I116" s="5">
        <v>0</v>
      </c>
      <c r="J116" s="4">
        <v>45943.683749999997</v>
      </c>
    </row>
    <row r="117" spans="1:10" x14ac:dyDescent="0.2">
      <c r="A117" s="2" t="s">
        <v>10</v>
      </c>
      <c r="B117" s="3" t="str">
        <f t="shared" si="7"/>
        <v>Email Abilify Maintena 960 mg En pratique_FR-AM2-2400045</v>
      </c>
      <c r="C117" s="3" t="str">
        <f>HYPERLINK("https://otsuka-europe-crm.veevavault.com/ui/#object/sent_email__v/VBLZ025E82HJAE1", "SE-000286846")</f>
        <v>SE-000286846</v>
      </c>
      <c r="D117" s="4" t="s">
        <v>11</v>
      </c>
      <c r="E117" s="5">
        <v>0</v>
      </c>
      <c r="F117" s="5">
        <v>0</v>
      </c>
      <c r="G117" s="5">
        <v>0</v>
      </c>
      <c r="H117" s="4" t="s">
        <v>11</v>
      </c>
      <c r="I117" s="5">
        <v>0</v>
      </c>
      <c r="J117" s="4">
        <v>45943.708935185183</v>
      </c>
    </row>
    <row r="118" spans="1:10" x14ac:dyDescent="0.2">
      <c r="A118" s="2" t="s">
        <v>10</v>
      </c>
      <c r="B118" s="3" t="str">
        <f t="shared" si="7"/>
        <v>Email Abilify Maintena 960 mg En pratique_FR-AM2-2400045</v>
      </c>
      <c r="C118" s="3" t="str">
        <f>HYPERLINK("https://otsuka-europe-crm.veevavault.com/ui/#object/sent_email__v/VBLZ025E82HJAGT", "SE-000286847")</f>
        <v>SE-000286847</v>
      </c>
      <c r="D118" s="4">
        <v>45943.816192129627</v>
      </c>
      <c r="E118" s="5">
        <v>1</v>
      </c>
      <c r="F118" s="5">
        <v>1</v>
      </c>
      <c r="G118" s="5">
        <v>0</v>
      </c>
      <c r="H118" s="4" t="s">
        <v>11</v>
      </c>
      <c r="I118" s="5">
        <v>0</v>
      </c>
      <c r="J118" s="4">
        <v>45943.709108796298</v>
      </c>
    </row>
    <row r="119" spans="1:10" x14ac:dyDescent="0.2">
      <c r="A119" s="2" t="s">
        <v>10</v>
      </c>
      <c r="B119" s="3" t="str">
        <f t="shared" ref="B119:B182" si="8">HYPERLINK("https://otsuka-europe-crm.veevavault.com/ui/#object/approved_document__v/V5OZ025E82N35U9", "Email Abilify Maintena 960 mg En pratique_FR-AM2-2400045")</f>
        <v>Email Abilify Maintena 960 mg En pratique_FR-AM2-2400045</v>
      </c>
      <c r="C119" s="3" t="str">
        <f>HYPERLINK("https://otsuka-europe-crm.veevavault.com/ui/#object/sent_email__v/VBLZ025E82HJAP5", "SE-000286848")</f>
        <v>SE-000286848</v>
      </c>
      <c r="D119" s="4">
        <v>45944.440150462964</v>
      </c>
      <c r="E119" s="5">
        <v>1</v>
      </c>
      <c r="F119" s="5">
        <v>1</v>
      </c>
      <c r="G119" s="5">
        <v>0</v>
      </c>
      <c r="H119" s="4" t="s">
        <v>11</v>
      </c>
      <c r="I119" s="5">
        <v>0</v>
      </c>
      <c r="J119" s="4">
        <v>45943.709594907406</v>
      </c>
    </row>
    <row r="120" spans="1:10" x14ac:dyDescent="0.2">
      <c r="A120" s="2" t="s">
        <v>10</v>
      </c>
      <c r="B120" s="3" t="str">
        <f t="shared" si="8"/>
        <v>Email Abilify Maintena 960 mg En pratique_FR-AM2-2400045</v>
      </c>
      <c r="C120" s="3" t="str">
        <f>HYPERLINK("https://otsuka-europe-crm.veevavault.com/ui/#object/sent_email__v/VBLZ025E82HJARX", "SE-000286849")</f>
        <v>SE-000286849</v>
      </c>
      <c r="D120" s="4">
        <v>45943.934108796297</v>
      </c>
      <c r="E120" s="5">
        <v>1</v>
      </c>
      <c r="F120" s="5">
        <v>1</v>
      </c>
      <c r="G120" s="5">
        <v>0</v>
      </c>
      <c r="H120" s="4" t="s">
        <v>11</v>
      </c>
      <c r="I120" s="5">
        <v>0</v>
      </c>
      <c r="J120" s="4">
        <v>45943.709861111114</v>
      </c>
    </row>
    <row r="121" spans="1:10" x14ac:dyDescent="0.2">
      <c r="A121" s="2" t="s">
        <v>10</v>
      </c>
      <c r="B121" s="3" t="str">
        <f t="shared" si="8"/>
        <v>Email Abilify Maintena 960 mg En pratique_FR-AM2-2400045</v>
      </c>
      <c r="C121" s="3" t="str">
        <f>HYPERLINK("https://otsuka-europe-crm.veevavault.com/ui/#object/sent_email__v/VBLZ025E82HJB09", "SE-000286850")</f>
        <v>SE-000286850</v>
      </c>
      <c r="D121" s="4" t="s">
        <v>11</v>
      </c>
      <c r="E121" s="5">
        <v>0</v>
      </c>
      <c r="F121" s="5">
        <v>0</v>
      </c>
      <c r="G121" s="5">
        <v>0</v>
      </c>
      <c r="H121" s="4" t="s">
        <v>11</v>
      </c>
      <c r="I121" s="5">
        <v>0</v>
      </c>
      <c r="J121" s="4">
        <v>45943.710416666669</v>
      </c>
    </row>
    <row r="122" spans="1:10" x14ac:dyDescent="0.2">
      <c r="A122" s="2" t="s">
        <v>10</v>
      </c>
      <c r="B122" s="3" t="str">
        <f t="shared" si="8"/>
        <v>Email Abilify Maintena 960 mg En pratique_FR-AM2-2400045</v>
      </c>
      <c r="C122" s="3" t="str">
        <f>HYPERLINK("https://otsuka-europe-crm.veevavault.com/ui/#object/sent_email__v/VBLZ025E82HK5K9", "SE-000287167")</f>
        <v>SE-000287167</v>
      </c>
      <c r="D122" s="4">
        <v>46003.423310185186</v>
      </c>
      <c r="E122" s="5">
        <v>1</v>
      </c>
      <c r="F122" s="5">
        <v>2</v>
      </c>
      <c r="G122" s="5">
        <v>0</v>
      </c>
      <c r="H122" s="4" t="s">
        <v>11</v>
      </c>
      <c r="I122" s="5">
        <v>0</v>
      </c>
      <c r="J122" s="4">
        <v>45944.51966435185</v>
      </c>
    </row>
    <row r="123" spans="1:10" x14ac:dyDescent="0.2">
      <c r="A123" s="2" t="s">
        <v>10</v>
      </c>
      <c r="B123" s="3" t="str">
        <f t="shared" si="8"/>
        <v>Email Abilify Maintena 960 mg En pratique_FR-AM2-2400045</v>
      </c>
      <c r="C123" s="3" t="str">
        <f>HYPERLINK("https://otsuka-europe-crm.veevavault.com/ui/#object/sent_email__v/VBLZ025E82HKLAX", "SE-000287550")</f>
        <v>SE-000287550</v>
      </c>
      <c r="D123" s="4">
        <v>45945.407326388886</v>
      </c>
      <c r="E123" s="5">
        <v>1</v>
      </c>
      <c r="F123" s="5">
        <v>4</v>
      </c>
      <c r="G123" s="5">
        <v>0</v>
      </c>
      <c r="H123" s="4" t="s">
        <v>11</v>
      </c>
      <c r="I123" s="5">
        <v>0</v>
      </c>
      <c r="J123" s="4">
        <v>45944.696018518516</v>
      </c>
    </row>
    <row r="124" spans="1:10" x14ac:dyDescent="0.2">
      <c r="A124" s="2" t="s">
        <v>10</v>
      </c>
      <c r="B124" s="3" t="str">
        <f t="shared" si="8"/>
        <v>Email Abilify Maintena 960 mg En pratique_FR-AM2-2400045</v>
      </c>
      <c r="C124" s="3" t="str">
        <f>HYPERLINK("https://otsuka-europe-crm.veevavault.com/ui/#object/sent_email__v/VBLZ025E82HMAVL", "SE-000287910")</f>
        <v>SE-000287910</v>
      </c>
      <c r="D124" s="4" t="s">
        <v>11</v>
      </c>
      <c r="E124" s="5">
        <v>0</v>
      </c>
      <c r="F124" s="5">
        <v>0</v>
      </c>
      <c r="G124" s="5">
        <v>0</v>
      </c>
      <c r="H124" s="4" t="s">
        <v>11</v>
      </c>
      <c r="I124" s="5">
        <v>0</v>
      </c>
      <c r="J124" s="4">
        <v>45946.475208333337</v>
      </c>
    </row>
    <row r="125" spans="1:10" x14ac:dyDescent="0.2">
      <c r="A125" s="2" t="s">
        <v>10</v>
      </c>
      <c r="B125" s="3" t="str">
        <f t="shared" si="8"/>
        <v>Email Abilify Maintena 960 mg En pratique_FR-AM2-2400045</v>
      </c>
      <c r="C125" s="3" t="str">
        <f>HYPERLINK("https://otsuka-europe-crm.veevavault.com/ui/#object/sent_email__v/VBLZ025E82HMSE5", "SE-000287937")</f>
        <v>SE-000287937</v>
      </c>
      <c r="D125" s="4">
        <v>45947.635381944441</v>
      </c>
      <c r="E125" s="5">
        <v>1</v>
      </c>
      <c r="F125" s="5">
        <v>8</v>
      </c>
      <c r="G125" s="5">
        <v>0</v>
      </c>
      <c r="H125" s="4" t="s">
        <v>11</v>
      </c>
      <c r="I125" s="5">
        <v>0</v>
      </c>
      <c r="J125" s="4">
        <v>45946.654143518521</v>
      </c>
    </row>
    <row r="126" spans="1:10" x14ac:dyDescent="0.2">
      <c r="A126" s="2" t="s">
        <v>10</v>
      </c>
      <c r="B126" s="3" t="str">
        <f t="shared" si="8"/>
        <v>Email Abilify Maintena 960 mg En pratique_FR-AM2-2400045</v>
      </c>
      <c r="C126" s="3" t="str">
        <f>HYPERLINK("https://otsuka-europe-crm.veevavault.com/ui/#object/sent_email__v/VBLZ025E82HPNPL", "SE-000288717")</f>
        <v>SE-000288717</v>
      </c>
      <c r="D126" s="4">
        <v>45975.854004629633</v>
      </c>
      <c r="E126" s="5">
        <v>1</v>
      </c>
      <c r="F126" s="5">
        <v>2</v>
      </c>
      <c r="G126" s="5">
        <v>0</v>
      </c>
      <c r="H126" s="4" t="s">
        <v>11</v>
      </c>
      <c r="I126" s="5">
        <v>0</v>
      </c>
      <c r="J126" s="4">
        <v>45950.705682870372</v>
      </c>
    </row>
    <row r="127" spans="1:10" x14ac:dyDescent="0.2">
      <c r="A127" s="2" t="s">
        <v>10</v>
      </c>
      <c r="B127" s="3" t="str">
        <f t="shared" si="8"/>
        <v>Email Abilify Maintena 960 mg En pratique_FR-AM2-2400045</v>
      </c>
      <c r="C127" s="3" t="str">
        <f>HYPERLINK("https://otsuka-europe-crm.veevavault.com/ui/#object/sent_email__v/VBLZ025E82HQL9X", "SE-000289369")</f>
        <v>SE-000289369</v>
      </c>
      <c r="D127" s="4" t="s">
        <v>11</v>
      </c>
      <c r="E127" s="5">
        <v>0</v>
      </c>
      <c r="F127" s="5">
        <v>0</v>
      </c>
      <c r="G127" s="5">
        <v>0</v>
      </c>
      <c r="H127" s="4" t="s">
        <v>11</v>
      </c>
      <c r="I127" s="5">
        <v>0</v>
      </c>
      <c r="J127" s="4">
        <v>45951.645798611113</v>
      </c>
    </row>
    <row r="128" spans="1:10" x14ac:dyDescent="0.2">
      <c r="A128" s="2" t="s">
        <v>10</v>
      </c>
      <c r="B128" s="3" t="str">
        <f t="shared" si="8"/>
        <v>Email Abilify Maintena 960 mg En pratique_FR-AM2-2400045</v>
      </c>
      <c r="C128" s="3" t="str">
        <f>HYPERLINK("https://otsuka-europe-crm.veevavault.com/ui/#object/sent_email__v/VBLZ025E82HRNMH", "SE-000290115")</f>
        <v>SE-000290115</v>
      </c>
      <c r="D128" s="4" t="s">
        <v>11</v>
      </c>
      <c r="E128" s="5">
        <v>0</v>
      </c>
      <c r="F128" s="5">
        <v>0</v>
      </c>
      <c r="G128" s="5">
        <v>0</v>
      </c>
      <c r="H128" s="4" t="s">
        <v>11</v>
      </c>
      <c r="I128" s="5">
        <v>0</v>
      </c>
      <c r="J128" s="4">
        <v>45952.642256944448</v>
      </c>
    </row>
    <row r="129" spans="1:10" x14ac:dyDescent="0.2">
      <c r="A129" s="2" t="s">
        <v>10</v>
      </c>
      <c r="B129" s="3" t="str">
        <f t="shared" si="8"/>
        <v>Email Abilify Maintena 960 mg En pratique_FR-AM2-2400045</v>
      </c>
      <c r="C129" s="3" t="str">
        <f>HYPERLINK("https://otsuka-europe-crm.veevavault.com/ui/#object/sent_email__v/VBLZ025E82HSNKX", "SE-000290497")</f>
        <v>SE-000290497</v>
      </c>
      <c r="D129" s="4" t="s">
        <v>11</v>
      </c>
      <c r="E129" s="5">
        <v>0</v>
      </c>
      <c r="F129" s="5">
        <v>0</v>
      </c>
      <c r="G129" s="5">
        <v>0</v>
      </c>
      <c r="H129" s="4" t="s">
        <v>11</v>
      </c>
      <c r="I129" s="5">
        <v>0</v>
      </c>
      <c r="J129" s="4">
        <v>45953.591122685182</v>
      </c>
    </row>
    <row r="130" spans="1:10" x14ac:dyDescent="0.2">
      <c r="A130" s="2" t="s">
        <v>10</v>
      </c>
      <c r="B130" s="3" t="str">
        <f t="shared" si="8"/>
        <v>Email Abilify Maintena 960 mg En pratique_FR-AM2-2400045</v>
      </c>
      <c r="C130" s="3" t="str">
        <f>HYPERLINK("https://otsuka-europe-crm.veevavault.com/ui/#object/sent_email__v/VBL000000001882", "SE-001378672")</f>
        <v>SE-001378672</v>
      </c>
      <c r="D130" s="4">
        <v>45957.688946759263</v>
      </c>
      <c r="E130" s="5">
        <v>1</v>
      </c>
      <c r="F130" s="5">
        <v>2</v>
      </c>
      <c r="G130" s="5">
        <v>0</v>
      </c>
      <c r="H130" s="4" t="s">
        <v>11</v>
      </c>
      <c r="I130" s="5">
        <v>0</v>
      </c>
      <c r="J130" s="4">
        <v>45957.672754629632</v>
      </c>
    </row>
    <row r="131" spans="1:10" x14ac:dyDescent="0.2">
      <c r="A131" s="2" t="s">
        <v>10</v>
      </c>
      <c r="B131" s="3" t="str">
        <f t="shared" si="8"/>
        <v>Email Abilify Maintena 960 mg En pratique_FR-AM2-2400045</v>
      </c>
      <c r="C131" s="3" t="str">
        <f>HYPERLINK("https://otsuka-europe-crm.veevavault.com/ui/#object/sent_email__v/VBL000000005341", "SE-001380188")</f>
        <v>SE-001380188</v>
      </c>
      <c r="D131" s="4">
        <v>46006.639502314814</v>
      </c>
      <c r="E131" s="5">
        <v>1</v>
      </c>
      <c r="F131" s="5">
        <v>3</v>
      </c>
      <c r="G131" s="5">
        <v>0</v>
      </c>
      <c r="H131" s="4" t="s">
        <v>11</v>
      </c>
      <c r="I131" s="5">
        <v>0</v>
      </c>
      <c r="J131" s="4">
        <v>45961.655277777776</v>
      </c>
    </row>
    <row r="132" spans="1:10" x14ac:dyDescent="0.2">
      <c r="A132" s="2" t="s">
        <v>10</v>
      </c>
      <c r="B132" s="3" t="str">
        <f t="shared" si="8"/>
        <v>Email Abilify Maintena 960 mg En pratique_FR-AM2-2400045</v>
      </c>
      <c r="C132" s="3" t="str">
        <f>HYPERLINK("https://otsuka-europe-crm.veevavault.com/ui/#object/sent_email__v/VBL000000007370", "SE-001381783")</f>
        <v>SE-001381783</v>
      </c>
      <c r="D132" s="4" t="s">
        <v>11</v>
      </c>
      <c r="E132" s="5">
        <v>0</v>
      </c>
      <c r="F132" s="5">
        <v>0</v>
      </c>
      <c r="G132" s="5">
        <v>0</v>
      </c>
      <c r="H132" s="4" t="s">
        <v>11</v>
      </c>
      <c r="I132" s="5">
        <v>0</v>
      </c>
      <c r="J132" s="4">
        <v>45968.449537037035</v>
      </c>
    </row>
    <row r="133" spans="1:10" x14ac:dyDescent="0.2">
      <c r="A133" s="2" t="s">
        <v>10</v>
      </c>
      <c r="B133" s="3" t="str">
        <f t="shared" si="8"/>
        <v>Email Abilify Maintena 960 mg En pratique_FR-AM2-2400045</v>
      </c>
      <c r="C133" s="3" t="str">
        <f>HYPERLINK("https://otsuka-europe-crm.veevavault.com/ui/#object/sent_email__v/VBL00000000Q245", "SE-001391444")</f>
        <v>SE-001391444</v>
      </c>
      <c r="D133" s="4" t="s">
        <v>11</v>
      </c>
      <c r="E133" s="5">
        <v>0</v>
      </c>
      <c r="F133" s="5">
        <v>0</v>
      </c>
      <c r="G133" s="5">
        <v>0</v>
      </c>
      <c r="H133" s="4" t="s">
        <v>11</v>
      </c>
      <c r="I133" s="5">
        <v>0</v>
      </c>
      <c r="J133" s="4">
        <v>45981.72824074074</v>
      </c>
    </row>
    <row r="134" spans="1:10" x14ac:dyDescent="0.2">
      <c r="A134" s="2" t="s">
        <v>10</v>
      </c>
      <c r="B134" s="3" t="str">
        <f t="shared" si="8"/>
        <v>Email Abilify Maintena 960 mg En pratique_FR-AM2-2400045</v>
      </c>
      <c r="C134" s="3" t="str">
        <f>HYPERLINK("https://otsuka-europe-crm.veevavault.com/ui/#object/sent_email__v/VBL00000000P158", "SE-001391479")</f>
        <v>SE-001391479</v>
      </c>
      <c r="D134" s="4" t="s">
        <v>11</v>
      </c>
      <c r="E134" s="5">
        <v>0</v>
      </c>
      <c r="F134" s="5">
        <v>0</v>
      </c>
      <c r="G134" s="5">
        <v>0</v>
      </c>
      <c r="H134" s="4" t="s">
        <v>11</v>
      </c>
      <c r="I134" s="5">
        <v>0</v>
      </c>
      <c r="J134" s="4">
        <v>45982.354664351849</v>
      </c>
    </row>
    <row r="135" spans="1:10" x14ac:dyDescent="0.2">
      <c r="A135" s="2" t="s">
        <v>10</v>
      </c>
      <c r="B135" s="3" t="str">
        <f t="shared" si="8"/>
        <v>Email Abilify Maintena 960 mg En pratique_FR-AM2-2400045</v>
      </c>
      <c r="C135" s="3" t="str">
        <f>HYPERLINK("https://otsuka-europe-crm.veevavault.com/ui/#object/sent_email__v/VBL00000000R028", "SE-001391582")</f>
        <v>SE-001391582</v>
      </c>
      <c r="D135" s="4" t="s">
        <v>11</v>
      </c>
      <c r="E135" s="5">
        <v>0</v>
      </c>
      <c r="F135" s="5">
        <v>0</v>
      </c>
      <c r="G135" s="5">
        <v>0</v>
      </c>
      <c r="H135" s="4" t="s">
        <v>11</v>
      </c>
      <c r="I135" s="5">
        <v>0</v>
      </c>
      <c r="J135" s="4">
        <v>45984.895173611112</v>
      </c>
    </row>
    <row r="136" spans="1:10" x14ac:dyDescent="0.2">
      <c r="A136" s="2" t="s">
        <v>10</v>
      </c>
      <c r="B136" s="3" t="str">
        <f t="shared" si="8"/>
        <v>Email Abilify Maintena 960 mg En pratique_FR-AM2-2400045</v>
      </c>
      <c r="C136" s="3" t="str">
        <f>HYPERLINK("https://otsuka-europe-crm.veevavault.com/ui/#object/sent_email__v/VBL00000000R029", "SE-001391583")</f>
        <v>SE-001391583</v>
      </c>
      <c r="D136" s="4">
        <v>45984.90247685185</v>
      </c>
      <c r="E136" s="5">
        <v>1</v>
      </c>
      <c r="F136" s="5">
        <v>1</v>
      </c>
      <c r="G136" s="5">
        <v>0</v>
      </c>
      <c r="H136" s="4" t="s">
        <v>11</v>
      </c>
      <c r="I136" s="5">
        <v>0</v>
      </c>
      <c r="J136" s="4">
        <v>45984.895787037036</v>
      </c>
    </row>
    <row r="137" spans="1:10" x14ac:dyDescent="0.2">
      <c r="A137" s="2" t="s">
        <v>10</v>
      </c>
      <c r="B137" s="3" t="str">
        <f t="shared" si="8"/>
        <v>Email Abilify Maintena 960 mg En pratique_FR-AM2-2400045</v>
      </c>
      <c r="C137" s="3" t="str">
        <f>HYPERLINK("https://otsuka-europe-crm.veevavault.com/ui/#object/sent_email__v/VBL00000000S017", "SE-001391585")</f>
        <v>SE-001391585</v>
      </c>
      <c r="D137" s="4" t="s">
        <v>11</v>
      </c>
      <c r="E137" s="5">
        <v>0</v>
      </c>
      <c r="F137" s="5">
        <v>0</v>
      </c>
      <c r="G137" s="5">
        <v>0</v>
      </c>
      <c r="H137" s="4" t="s">
        <v>11</v>
      </c>
      <c r="I137" s="5">
        <v>0</v>
      </c>
      <c r="J137" s="4">
        <v>45984.901631944442</v>
      </c>
    </row>
    <row r="138" spans="1:10" x14ac:dyDescent="0.2">
      <c r="A138" s="2" t="s">
        <v>10</v>
      </c>
      <c r="B138" s="3" t="str">
        <f t="shared" si="8"/>
        <v>Email Abilify Maintena 960 mg En pratique_FR-AM2-2400045</v>
      </c>
      <c r="C138" s="3" t="str">
        <f>HYPERLINK("https://otsuka-europe-crm.veevavault.com/ui/#object/sent_email__v/VBL00000000S018", "SE-001391586")</f>
        <v>SE-001391586</v>
      </c>
      <c r="D138" s="4">
        <v>45984.907476851855</v>
      </c>
      <c r="E138" s="5">
        <v>1</v>
      </c>
      <c r="F138" s="5">
        <v>2</v>
      </c>
      <c r="G138" s="5">
        <v>0</v>
      </c>
      <c r="H138" s="4" t="s">
        <v>11</v>
      </c>
      <c r="I138" s="5">
        <v>0</v>
      </c>
      <c r="J138" s="4">
        <v>45984.907222222224</v>
      </c>
    </row>
    <row r="139" spans="1:10" x14ac:dyDescent="0.2">
      <c r="A139" s="2" t="s">
        <v>10</v>
      </c>
      <c r="B139" s="3" t="str">
        <f t="shared" si="8"/>
        <v>Email Abilify Maintena 960 mg En pratique_FR-AM2-2400045</v>
      </c>
      <c r="C139" s="3" t="str">
        <f>HYPERLINK("https://otsuka-europe-crm.veevavault.com/ui/#object/sent_email__v/VBL00000000R031", "SE-001391587")</f>
        <v>SE-001391587</v>
      </c>
      <c r="D139" s="4" t="s">
        <v>11</v>
      </c>
      <c r="E139" s="5">
        <v>0</v>
      </c>
      <c r="F139" s="5">
        <v>0</v>
      </c>
      <c r="G139" s="5">
        <v>0</v>
      </c>
      <c r="H139" s="4" t="s">
        <v>11</v>
      </c>
      <c r="I139" s="5">
        <v>0</v>
      </c>
      <c r="J139" s="4">
        <v>45984.90892361111</v>
      </c>
    </row>
    <row r="140" spans="1:10" x14ac:dyDescent="0.2">
      <c r="A140" s="2" t="s">
        <v>10</v>
      </c>
      <c r="B140" s="3" t="str">
        <f t="shared" si="8"/>
        <v>Email Abilify Maintena 960 mg En pratique_FR-AM2-2400045</v>
      </c>
      <c r="C140" s="3" t="str">
        <f>HYPERLINK("https://otsuka-europe-crm.veevavault.com/ui/#object/sent_email__v/VBL00000000R032", "SE-001391588")</f>
        <v>SE-001391588</v>
      </c>
      <c r="D140" s="4">
        <v>45985.304050925923</v>
      </c>
      <c r="E140" s="5">
        <v>1</v>
      </c>
      <c r="F140" s="5">
        <v>1</v>
      </c>
      <c r="G140" s="5">
        <v>0</v>
      </c>
      <c r="H140" s="4" t="s">
        <v>11</v>
      </c>
      <c r="I140" s="5">
        <v>0</v>
      </c>
      <c r="J140" s="4">
        <v>45984.908946759257</v>
      </c>
    </row>
    <row r="141" spans="1:10" x14ac:dyDescent="0.2">
      <c r="A141" s="2" t="s">
        <v>10</v>
      </c>
      <c r="B141" s="3" t="str">
        <f t="shared" si="8"/>
        <v>Email Abilify Maintena 960 mg En pratique_FR-AM2-2400045</v>
      </c>
      <c r="C141" s="3" t="str">
        <f>HYPERLINK("https://otsuka-europe-crm.veevavault.com/ui/#object/sent_email__v/VBL00000000R033", "SE-001391589")</f>
        <v>SE-001391589</v>
      </c>
      <c r="D141" s="4">
        <v>45985.335173611114</v>
      </c>
      <c r="E141" s="5">
        <v>1</v>
      </c>
      <c r="F141" s="5">
        <v>2</v>
      </c>
      <c r="G141" s="5">
        <v>0</v>
      </c>
      <c r="H141" s="4" t="s">
        <v>11</v>
      </c>
      <c r="I141" s="5">
        <v>0</v>
      </c>
      <c r="J141" s="4">
        <v>45984.90898148148</v>
      </c>
    </row>
    <row r="142" spans="1:10" x14ac:dyDescent="0.2">
      <c r="A142" s="2" t="s">
        <v>10</v>
      </c>
      <c r="B142" s="3" t="str">
        <f t="shared" si="8"/>
        <v>Email Abilify Maintena 960 mg En pratique_FR-AM2-2400045</v>
      </c>
      <c r="C142" s="3" t="str">
        <f>HYPERLINK("https://otsuka-europe-crm.veevavault.com/ui/#object/sent_email__v/VBL00000000R034", "SE-001391590")</f>
        <v>SE-001391590</v>
      </c>
      <c r="D142" s="4" t="s">
        <v>11</v>
      </c>
      <c r="E142" s="5">
        <v>0</v>
      </c>
      <c r="F142" s="5">
        <v>0</v>
      </c>
      <c r="G142" s="5">
        <v>0</v>
      </c>
      <c r="H142" s="4" t="s">
        <v>11</v>
      </c>
      <c r="I142" s="5">
        <v>0</v>
      </c>
      <c r="J142" s="4">
        <v>45984.909780092596</v>
      </c>
    </row>
    <row r="143" spans="1:10" x14ac:dyDescent="0.2">
      <c r="A143" s="2" t="s">
        <v>10</v>
      </c>
      <c r="B143" s="3" t="str">
        <f t="shared" si="8"/>
        <v>Email Abilify Maintena 960 mg En pratique_FR-AM2-2400045</v>
      </c>
      <c r="C143" s="3" t="str">
        <f>HYPERLINK("https://otsuka-europe-crm.veevavault.com/ui/#object/sent_email__v/VBL00000000S038", "SE-001391682")</f>
        <v>SE-001391682</v>
      </c>
      <c r="D143" s="4">
        <v>45985.536759259259</v>
      </c>
      <c r="E143" s="5">
        <v>1</v>
      </c>
      <c r="F143" s="5">
        <v>2</v>
      </c>
      <c r="G143" s="5">
        <v>0</v>
      </c>
      <c r="H143" s="4" t="s">
        <v>11</v>
      </c>
      <c r="I143" s="5">
        <v>0</v>
      </c>
      <c r="J143" s="4">
        <v>45985.394768518519</v>
      </c>
    </row>
    <row r="144" spans="1:10" x14ac:dyDescent="0.2">
      <c r="A144" s="2" t="s">
        <v>10</v>
      </c>
      <c r="B144" s="3" t="str">
        <f t="shared" si="8"/>
        <v>Email Abilify Maintena 960 mg En pratique_FR-AM2-2400045</v>
      </c>
      <c r="C144" s="3" t="str">
        <f>HYPERLINK("https://otsuka-europe-crm.veevavault.com/ui/#object/sent_email__v/VBL00000000R118", "SE-001391683")</f>
        <v>SE-001391683</v>
      </c>
      <c r="D144" s="4">
        <v>45985.542442129627</v>
      </c>
      <c r="E144" s="5">
        <v>1</v>
      </c>
      <c r="F144" s="5">
        <v>2</v>
      </c>
      <c r="G144" s="5">
        <v>0</v>
      </c>
      <c r="H144" s="4" t="s">
        <v>11</v>
      </c>
      <c r="I144" s="5">
        <v>0</v>
      </c>
      <c r="J144" s="4">
        <v>45985.395057870373</v>
      </c>
    </row>
    <row r="145" spans="1:10" x14ac:dyDescent="0.2">
      <c r="A145" s="2" t="s">
        <v>10</v>
      </c>
      <c r="B145" s="3" t="str">
        <f t="shared" si="8"/>
        <v>Email Abilify Maintena 960 mg En pratique_FR-AM2-2400045</v>
      </c>
      <c r="C145" s="3" t="str">
        <f>HYPERLINK("https://otsuka-europe-crm.veevavault.com/ui/#object/sent_email__v/VBL00000000R119", "SE-001391684")</f>
        <v>SE-001391684</v>
      </c>
      <c r="D145" s="4" t="s">
        <v>11</v>
      </c>
      <c r="E145" s="5">
        <v>0</v>
      </c>
      <c r="F145" s="5">
        <v>0</v>
      </c>
      <c r="G145" s="5">
        <v>0</v>
      </c>
      <c r="H145" s="4" t="s">
        <v>11</v>
      </c>
      <c r="I145" s="5">
        <v>0</v>
      </c>
      <c r="J145" s="4">
        <v>45985.395451388889</v>
      </c>
    </row>
    <row r="146" spans="1:10" x14ac:dyDescent="0.2">
      <c r="A146" s="2" t="s">
        <v>10</v>
      </c>
      <c r="B146" s="3" t="str">
        <f t="shared" si="8"/>
        <v>Email Abilify Maintena 960 mg En pratique_FR-AM2-2400045</v>
      </c>
      <c r="C146" s="3" t="str">
        <f>HYPERLINK("https://otsuka-europe-crm.veevavault.com/ui/#object/sent_email__v/VBL00000000R120", "SE-001391685")</f>
        <v>SE-001391685</v>
      </c>
      <c r="D146" s="4" t="s">
        <v>11</v>
      </c>
      <c r="E146" s="5">
        <v>0</v>
      </c>
      <c r="F146" s="5">
        <v>0</v>
      </c>
      <c r="G146" s="5">
        <v>0</v>
      </c>
      <c r="H146" s="4" t="s">
        <v>11</v>
      </c>
      <c r="I146" s="5">
        <v>0</v>
      </c>
      <c r="J146" s="4">
        <v>45985.395520833335</v>
      </c>
    </row>
    <row r="147" spans="1:10" x14ac:dyDescent="0.2">
      <c r="A147" s="2" t="s">
        <v>10</v>
      </c>
      <c r="B147" s="3" t="str">
        <f t="shared" si="8"/>
        <v>Email Abilify Maintena 960 mg En pratique_FR-AM2-2400045</v>
      </c>
      <c r="C147" s="3" t="str">
        <f>HYPERLINK("https://otsuka-europe-crm.veevavault.com/ui/#object/sent_email__v/VBL00000000S039", "SE-001391686")</f>
        <v>SE-001391686</v>
      </c>
      <c r="D147" s="4" t="s">
        <v>11</v>
      </c>
      <c r="E147" s="5">
        <v>0</v>
      </c>
      <c r="F147" s="5">
        <v>0</v>
      </c>
      <c r="G147" s="5">
        <v>0</v>
      </c>
      <c r="H147" s="4" t="s">
        <v>11</v>
      </c>
      <c r="I147" s="5">
        <v>0</v>
      </c>
      <c r="J147" s="4">
        <v>45985.395879629628</v>
      </c>
    </row>
    <row r="148" spans="1:10" x14ac:dyDescent="0.2">
      <c r="A148" s="2" t="s">
        <v>10</v>
      </c>
      <c r="B148" s="3" t="str">
        <f t="shared" si="8"/>
        <v>Email Abilify Maintena 960 mg En pratique_FR-AM2-2400045</v>
      </c>
      <c r="C148" s="3" t="str">
        <f>HYPERLINK("https://otsuka-europe-crm.veevavault.com/ui/#object/sent_email__v/VBL00000000S040", "SE-001391687")</f>
        <v>SE-001391687</v>
      </c>
      <c r="D148" s="4" t="s">
        <v>11</v>
      </c>
      <c r="E148" s="5">
        <v>0</v>
      </c>
      <c r="F148" s="5">
        <v>0</v>
      </c>
      <c r="G148" s="5">
        <v>0</v>
      </c>
      <c r="H148" s="4" t="s">
        <v>11</v>
      </c>
      <c r="I148" s="5">
        <v>0</v>
      </c>
      <c r="J148" s="4">
        <v>45985.396180555559</v>
      </c>
    </row>
    <row r="149" spans="1:10" x14ac:dyDescent="0.2">
      <c r="A149" s="2" t="s">
        <v>10</v>
      </c>
      <c r="B149" s="3" t="str">
        <f t="shared" si="8"/>
        <v>Email Abilify Maintena 960 mg En pratique_FR-AM2-2400045</v>
      </c>
      <c r="C149" s="3" t="str">
        <f>HYPERLINK("https://otsuka-europe-crm.veevavault.com/ui/#object/sent_email__v/VBL00000000S041", "SE-001391688")</f>
        <v>SE-001391688</v>
      </c>
      <c r="D149" s="4">
        <v>45985.398576388892</v>
      </c>
      <c r="E149" s="5">
        <v>1</v>
      </c>
      <c r="F149" s="5">
        <v>1</v>
      </c>
      <c r="G149" s="5">
        <v>0</v>
      </c>
      <c r="H149" s="4" t="s">
        <v>11</v>
      </c>
      <c r="I149" s="5">
        <v>0</v>
      </c>
      <c r="J149" s="4">
        <v>45985.396539351852</v>
      </c>
    </row>
    <row r="150" spans="1:10" x14ac:dyDescent="0.2">
      <c r="A150" s="2" t="s">
        <v>10</v>
      </c>
      <c r="B150" s="3" t="str">
        <f t="shared" si="8"/>
        <v>Email Abilify Maintena 960 mg En pratique_FR-AM2-2400045</v>
      </c>
      <c r="C150" s="3" t="str">
        <f>HYPERLINK("https://otsuka-europe-crm.veevavault.com/ui/#object/sent_email__v/VBL00000000R271", "SE-001391892")</f>
        <v>SE-001391892</v>
      </c>
      <c r="D150" s="4">
        <v>45986.67591435185</v>
      </c>
      <c r="E150" s="5">
        <v>1</v>
      </c>
      <c r="F150" s="5">
        <v>1</v>
      </c>
      <c r="G150" s="5">
        <v>0</v>
      </c>
      <c r="H150" s="4" t="s">
        <v>11</v>
      </c>
      <c r="I150" s="5">
        <v>0</v>
      </c>
      <c r="J150" s="4">
        <v>45986.531724537039</v>
      </c>
    </row>
    <row r="151" spans="1:10" x14ac:dyDescent="0.2">
      <c r="A151" s="2" t="s">
        <v>10</v>
      </c>
      <c r="B151" s="3" t="str">
        <f t="shared" si="8"/>
        <v>Email Abilify Maintena 960 mg En pratique_FR-AM2-2400045</v>
      </c>
      <c r="C151" s="3" t="str">
        <f>HYPERLINK("https://otsuka-europe-crm.veevavault.com/ui/#object/sent_email__v/VBL00000000S112", "SE-001391893")</f>
        <v>SE-001391893</v>
      </c>
      <c r="D151" s="4" t="s">
        <v>11</v>
      </c>
      <c r="E151" s="5">
        <v>0</v>
      </c>
      <c r="F151" s="5">
        <v>0</v>
      </c>
      <c r="G151" s="5">
        <v>0</v>
      </c>
      <c r="H151" s="4" t="s">
        <v>11</v>
      </c>
      <c r="I151" s="5">
        <v>0</v>
      </c>
      <c r="J151" s="4">
        <v>45986.534537037034</v>
      </c>
    </row>
    <row r="152" spans="1:10" x14ac:dyDescent="0.2">
      <c r="A152" s="2" t="s">
        <v>10</v>
      </c>
      <c r="B152" s="3" t="str">
        <f t="shared" si="8"/>
        <v>Email Abilify Maintena 960 mg En pratique_FR-AM2-2400045</v>
      </c>
      <c r="C152" s="3" t="str">
        <f>HYPERLINK("https://otsuka-europe-crm.veevavault.com/ui/#object/sent_email__v/VBL00000000R282", "SE-001391910")</f>
        <v>SE-001391910</v>
      </c>
      <c r="D152" s="4" t="s">
        <v>11</v>
      </c>
      <c r="E152" s="5">
        <v>0</v>
      </c>
      <c r="F152" s="5">
        <v>0</v>
      </c>
      <c r="G152" s="5">
        <v>0</v>
      </c>
      <c r="H152" s="4" t="s">
        <v>11</v>
      </c>
      <c r="I152" s="5">
        <v>0</v>
      </c>
      <c r="J152" s="4">
        <v>45986.69326388889</v>
      </c>
    </row>
    <row r="153" spans="1:10" x14ac:dyDescent="0.2">
      <c r="A153" s="2" t="s">
        <v>10</v>
      </c>
      <c r="B153" s="3" t="str">
        <f t="shared" si="8"/>
        <v>Email Abilify Maintena 960 mg En pratique_FR-AM2-2400045</v>
      </c>
      <c r="C153" s="3" t="str">
        <f>HYPERLINK("https://otsuka-europe-crm.veevavault.com/ui/#object/sent_email__v/VBL00000000R283", "SE-001391911")</f>
        <v>SE-001391911</v>
      </c>
      <c r="D153" s="4" t="s">
        <v>11</v>
      </c>
      <c r="E153" s="5">
        <v>0</v>
      </c>
      <c r="F153" s="5">
        <v>0</v>
      </c>
      <c r="G153" s="5">
        <v>0</v>
      </c>
      <c r="H153" s="4" t="s">
        <v>11</v>
      </c>
      <c r="I153" s="5">
        <v>0</v>
      </c>
      <c r="J153" s="4">
        <v>45986.693298611113</v>
      </c>
    </row>
    <row r="154" spans="1:10" x14ac:dyDescent="0.2">
      <c r="A154" s="2" t="s">
        <v>10</v>
      </c>
      <c r="B154" s="3" t="str">
        <f t="shared" si="8"/>
        <v>Email Abilify Maintena 960 mg En pratique_FR-AM2-2400045</v>
      </c>
      <c r="C154" s="3" t="str">
        <f>HYPERLINK("https://otsuka-europe-crm.veevavault.com/ui/#object/sent_email__v/VBL00000000R293", "SE-001391928")</f>
        <v>SE-001391928</v>
      </c>
      <c r="D154" s="4">
        <v>46059.41909722222</v>
      </c>
      <c r="E154" s="5">
        <v>1</v>
      </c>
      <c r="F154" s="5">
        <v>2</v>
      </c>
      <c r="G154" s="5">
        <v>1</v>
      </c>
      <c r="H154" s="4">
        <v>45987.345381944448</v>
      </c>
      <c r="I154" s="5">
        <v>1</v>
      </c>
      <c r="J154" s="4">
        <v>45987.34306712963</v>
      </c>
    </row>
    <row r="155" spans="1:10" x14ac:dyDescent="0.2">
      <c r="A155" s="2" t="s">
        <v>10</v>
      </c>
      <c r="B155" s="3" t="str">
        <f t="shared" si="8"/>
        <v>Email Abilify Maintena 960 mg En pratique_FR-AM2-2400045</v>
      </c>
      <c r="C155" s="3" t="str">
        <f>HYPERLINK("https://otsuka-europe-crm.veevavault.com/ui/#object/sent_email__v/VBL00000000R305", "SE-001391934")</f>
        <v>SE-001391934</v>
      </c>
      <c r="D155" s="4" t="s">
        <v>11</v>
      </c>
      <c r="E155" s="5">
        <v>0</v>
      </c>
      <c r="F155" s="5">
        <v>0</v>
      </c>
      <c r="G155" s="5">
        <v>0</v>
      </c>
      <c r="H155" s="4" t="s">
        <v>11</v>
      </c>
      <c r="I155" s="5">
        <v>0</v>
      </c>
      <c r="J155" s="4">
        <v>45987.454768518517</v>
      </c>
    </row>
    <row r="156" spans="1:10" x14ac:dyDescent="0.2">
      <c r="A156" s="2" t="s">
        <v>10</v>
      </c>
      <c r="B156" s="3" t="str">
        <f t="shared" si="8"/>
        <v>Email Abilify Maintena 960 mg En pratique_FR-AM2-2400045</v>
      </c>
      <c r="C156" s="3" t="str">
        <f>HYPERLINK("https://otsuka-europe-crm.veevavault.com/ui/#object/sent_email__v/VBL00000000S138", "SE-001391936")</f>
        <v>SE-001391936</v>
      </c>
      <c r="D156" s="4">
        <v>45988.151006944441</v>
      </c>
      <c r="E156" s="5">
        <v>1</v>
      </c>
      <c r="F156" s="5">
        <v>2</v>
      </c>
      <c r="G156" s="5">
        <v>0</v>
      </c>
      <c r="H156" s="4" t="s">
        <v>11</v>
      </c>
      <c r="I156" s="5">
        <v>0</v>
      </c>
      <c r="J156" s="4">
        <v>45987.524108796293</v>
      </c>
    </row>
    <row r="157" spans="1:10" x14ac:dyDescent="0.2">
      <c r="A157" s="2" t="s">
        <v>10</v>
      </c>
      <c r="B157" s="3" t="str">
        <f t="shared" si="8"/>
        <v>Email Abilify Maintena 960 mg En pratique_FR-AM2-2400045</v>
      </c>
      <c r="C157" s="3" t="str">
        <f>HYPERLINK("https://otsuka-europe-crm.veevavault.com/ui/#object/sent_email__v/VBL00000000R306", "SE-001391937")</f>
        <v>SE-001391937</v>
      </c>
      <c r="D157" s="4" t="s">
        <v>11</v>
      </c>
      <c r="E157" s="5">
        <v>0</v>
      </c>
      <c r="F157" s="5">
        <v>0</v>
      </c>
      <c r="G157" s="5">
        <v>0</v>
      </c>
      <c r="H157" s="4" t="s">
        <v>11</v>
      </c>
      <c r="I157" s="5">
        <v>0</v>
      </c>
      <c r="J157" s="4">
        <v>45987.524386574078</v>
      </c>
    </row>
    <row r="158" spans="1:10" x14ac:dyDescent="0.2">
      <c r="A158" s="2" t="s">
        <v>10</v>
      </c>
      <c r="B158" s="3" t="str">
        <f t="shared" si="8"/>
        <v>Email Abilify Maintena 960 mg En pratique_FR-AM2-2400045</v>
      </c>
      <c r="C158" s="3" t="str">
        <f>HYPERLINK("https://otsuka-europe-crm.veevavault.com/ui/#object/sent_email__v/VBL00000000S139", "SE-001391938")</f>
        <v>SE-001391938</v>
      </c>
      <c r="D158" s="4" t="s">
        <v>11</v>
      </c>
      <c r="E158" s="5">
        <v>0</v>
      </c>
      <c r="F158" s="5">
        <v>0</v>
      </c>
      <c r="G158" s="5">
        <v>0</v>
      </c>
      <c r="H158" s="4" t="s">
        <v>11</v>
      </c>
      <c r="I158" s="5">
        <v>0</v>
      </c>
      <c r="J158" s="4">
        <v>45987.524791666663</v>
      </c>
    </row>
    <row r="159" spans="1:10" x14ac:dyDescent="0.2">
      <c r="A159" s="2" t="s">
        <v>10</v>
      </c>
      <c r="B159" s="3" t="str">
        <f t="shared" si="8"/>
        <v>Email Abilify Maintena 960 mg En pratique_FR-AM2-2400045</v>
      </c>
      <c r="C159" s="3" t="str">
        <f>HYPERLINK("https://otsuka-europe-crm.veevavault.com/ui/#object/sent_email__v/VBL00000000S141", "SE-001391940")</f>
        <v>SE-001391940</v>
      </c>
      <c r="D159" s="4" t="s">
        <v>11</v>
      </c>
      <c r="E159" s="5">
        <v>0</v>
      </c>
      <c r="F159" s="5">
        <v>0</v>
      </c>
      <c r="G159" s="5">
        <v>0</v>
      </c>
      <c r="H159" s="4" t="s">
        <v>11</v>
      </c>
      <c r="I159" s="5">
        <v>0</v>
      </c>
      <c r="J159" s="4">
        <v>45987.526331018518</v>
      </c>
    </row>
    <row r="160" spans="1:10" x14ac:dyDescent="0.2">
      <c r="A160" s="2" t="s">
        <v>10</v>
      </c>
      <c r="B160" s="3" t="str">
        <f t="shared" si="8"/>
        <v>Email Abilify Maintena 960 mg En pratique_FR-AM2-2400045</v>
      </c>
      <c r="C160" s="3" t="str">
        <f>HYPERLINK("https://otsuka-europe-crm.veevavault.com/ui/#object/sent_email__v/VBL00000000S142", "SE-001391941")</f>
        <v>SE-001391941</v>
      </c>
      <c r="D160" s="4">
        <v>45987.580266203702</v>
      </c>
      <c r="E160" s="5">
        <v>1</v>
      </c>
      <c r="F160" s="5">
        <v>1</v>
      </c>
      <c r="G160" s="5">
        <v>0</v>
      </c>
      <c r="H160" s="4" t="s">
        <v>11</v>
      </c>
      <c r="I160" s="5">
        <v>0</v>
      </c>
      <c r="J160" s="4">
        <v>45987.527256944442</v>
      </c>
    </row>
    <row r="161" spans="1:10" x14ac:dyDescent="0.2">
      <c r="A161" s="2" t="s">
        <v>10</v>
      </c>
      <c r="B161" s="3" t="str">
        <f t="shared" si="8"/>
        <v>Email Abilify Maintena 960 mg En pratique_FR-AM2-2400045</v>
      </c>
      <c r="C161" s="3" t="str">
        <f>HYPERLINK("https://otsuka-europe-crm.veevavault.com/ui/#object/sent_email__v/VBL00000000R376", "SE-001392016")</f>
        <v>SE-001392016</v>
      </c>
      <c r="D161" s="4">
        <v>45988.647152777776</v>
      </c>
      <c r="E161" s="5">
        <v>1</v>
      </c>
      <c r="F161" s="5">
        <v>2</v>
      </c>
      <c r="G161" s="5">
        <v>0</v>
      </c>
      <c r="H161" s="4" t="s">
        <v>11</v>
      </c>
      <c r="I161" s="5">
        <v>0</v>
      </c>
      <c r="J161" s="4">
        <v>45988.646620370368</v>
      </c>
    </row>
    <row r="162" spans="1:10" x14ac:dyDescent="0.2">
      <c r="A162" s="2" t="s">
        <v>10</v>
      </c>
      <c r="B162" s="3" t="str">
        <f t="shared" si="8"/>
        <v>Email Abilify Maintena 960 mg En pratique_FR-AM2-2400045</v>
      </c>
      <c r="C162" s="3" t="str">
        <f>HYPERLINK("https://otsuka-europe-crm.veevavault.com/ui/#object/sent_email__v/VBL00000000T770", "SE-001393969")</f>
        <v>SE-001393969</v>
      </c>
      <c r="D162" s="4">
        <v>45994.225787037038</v>
      </c>
      <c r="E162" s="5">
        <v>1</v>
      </c>
      <c r="F162" s="5">
        <v>3</v>
      </c>
      <c r="G162" s="5">
        <v>0</v>
      </c>
      <c r="H162" s="4" t="s">
        <v>11</v>
      </c>
      <c r="I162" s="5">
        <v>0</v>
      </c>
      <c r="J162" s="4">
        <v>45992.33861111111</v>
      </c>
    </row>
    <row r="163" spans="1:10" x14ac:dyDescent="0.2">
      <c r="A163" s="2" t="s">
        <v>10</v>
      </c>
      <c r="B163" s="3" t="str">
        <f t="shared" si="8"/>
        <v>Email Abilify Maintena 960 mg En pratique_FR-AM2-2400045</v>
      </c>
      <c r="C163" s="3" t="str">
        <f>HYPERLINK("https://otsuka-europe-crm.veevavault.com/ui/#object/sent_email__v/VBL00000000R801", "SE-001393970")</f>
        <v>SE-001393970</v>
      </c>
      <c r="D163" s="4" t="s">
        <v>11</v>
      </c>
      <c r="E163" s="5">
        <v>0</v>
      </c>
      <c r="F163" s="5">
        <v>0</v>
      </c>
      <c r="G163" s="5">
        <v>0</v>
      </c>
      <c r="H163" s="4" t="s">
        <v>11</v>
      </c>
      <c r="I163" s="5">
        <v>0</v>
      </c>
      <c r="J163" s="4">
        <v>45992.34684027778</v>
      </c>
    </row>
    <row r="164" spans="1:10" x14ac:dyDescent="0.2">
      <c r="A164" s="2" t="s">
        <v>10</v>
      </c>
      <c r="B164" s="3" t="str">
        <f t="shared" si="8"/>
        <v>Email Abilify Maintena 960 mg En pratique_FR-AM2-2400045</v>
      </c>
      <c r="C164" s="3" t="str">
        <f>HYPERLINK("https://otsuka-europe-crm.veevavault.com/ui/#object/sent_email__v/VBL00000000T771", "SE-001393971")</f>
        <v>SE-001393971</v>
      </c>
      <c r="D164" s="4" t="s">
        <v>11</v>
      </c>
      <c r="E164" s="5">
        <v>0</v>
      </c>
      <c r="F164" s="5">
        <v>0</v>
      </c>
      <c r="G164" s="5">
        <v>0</v>
      </c>
      <c r="H164" s="4" t="s">
        <v>11</v>
      </c>
      <c r="I164" s="5">
        <v>0</v>
      </c>
      <c r="J164" s="4">
        <v>45992.347303240742</v>
      </c>
    </row>
    <row r="165" spans="1:10" x14ac:dyDescent="0.2">
      <c r="A165" s="2" t="s">
        <v>10</v>
      </c>
      <c r="B165" s="3" t="str">
        <f t="shared" si="8"/>
        <v>Email Abilify Maintena 960 mg En pratique_FR-AM2-2400045</v>
      </c>
      <c r="C165" s="3" t="str">
        <f>HYPERLINK("https://otsuka-europe-crm.veevavault.com/ui/#object/sent_email__v/VBL00000000U053", "SE-001394388")</f>
        <v>SE-001394388</v>
      </c>
      <c r="D165" s="4">
        <v>45993.887060185189</v>
      </c>
      <c r="E165" s="5">
        <v>1</v>
      </c>
      <c r="F165" s="5">
        <v>2</v>
      </c>
      <c r="G165" s="5">
        <v>0</v>
      </c>
      <c r="H165" s="4" t="s">
        <v>11</v>
      </c>
      <c r="I165" s="5">
        <v>0</v>
      </c>
      <c r="J165" s="4">
        <v>45992.608622685184</v>
      </c>
    </row>
    <row r="166" spans="1:10" x14ac:dyDescent="0.2">
      <c r="A166" s="2" t="s">
        <v>10</v>
      </c>
      <c r="B166" s="3" t="str">
        <f t="shared" si="8"/>
        <v>Email Abilify Maintena 960 mg En pratique_FR-AM2-2400045</v>
      </c>
      <c r="C166" s="3" t="str">
        <f>HYPERLINK("https://otsuka-europe-crm.veevavault.com/ui/#object/sent_email__v/VBL00000000U386", "SE-001394818")</f>
        <v>SE-001394818</v>
      </c>
      <c r="D166" s="4">
        <v>46035.579398148147</v>
      </c>
      <c r="E166" s="5">
        <v>1</v>
      </c>
      <c r="F166" s="5">
        <v>1</v>
      </c>
      <c r="G166" s="5">
        <v>0</v>
      </c>
      <c r="H166" s="4" t="s">
        <v>11</v>
      </c>
      <c r="I166" s="5">
        <v>0</v>
      </c>
      <c r="J166" s="4">
        <v>45994.568622685183</v>
      </c>
    </row>
    <row r="167" spans="1:10" x14ac:dyDescent="0.2">
      <c r="A167" s="2" t="s">
        <v>10</v>
      </c>
      <c r="B167" s="3" t="str">
        <f t="shared" si="8"/>
        <v>Email Abilify Maintena 960 mg En pratique_FR-AM2-2400045</v>
      </c>
      <c r="C167" s="3" t="str">
        <f>HYPERLINK("https://otsuka-europe-crm.veevavault.com/ui/#object/sent_email__v/VBL00000000V065", "SE-001394819")</f>
        <v>SE-001394819</v>
      </c>
      <c r="D167" s="4">
        <v>45995.47488425926</v>
      </c>
      <c r="E167" s="5">
        <v>1</v>
      </c>
      <c r="F167" s="5">
        <v>1</v>
      </c>
      <c r="G167" s="5">
        <v>0</v>
      </c>
      <c r="H167" s="4" t="s">
        <v>11</v>
      </c>
      <c r="I167" s="5">
        <v>0</v>
      </c>
      <c r="J167" s="4">
        <v>45994.569780092592</v>
      </c>
    </row>
    <row r="168" spans="1:10" x14ac:dyDescent="0.2">
      <c r="A168" s="2" t="s">
        <v>10</v>
      </c>
      <c r="B168" s="3" t="str">
        <f t="shared" si="8"/>
        <v>Email Abilify Maintena 960 mg En pratique_FR-AM2-2400045</v>
      </c>
      <c r="C168" s="3" t="str">
        <f>HYPERLINK("https://otsuka-europe-crm.veevavault.com/ui/#object/sent_email__v/VBL00000000V067", "SE-001394821")</f>
        <v>SE-001394821</v>
      </c>
      <c r="D168" s="4" t="s">
        <v>11</v>
      </c>
      <c r="E168" s="5">
        <v>0</v>
      </c>
      <c r="F168" s="5">
        <v>0</v>
      </c>
      <c r="G168" s="5">
        <v>0</v>
      </c>
      <c r="H168" s="4" t="s">
        <v>11</v>
      </c>
      <c r="I168" s="5">
        <v>0</v>
      </c>
      <c r="J168" s="4">
        <v>45994.570833333331</v>
      </c>
    </row>
    <row r="169" spans="1:10" x14ac:dyDescent="0.2">
      <c r="A169" s="2" t="s">
        <v>10</v>
      </c>
      <c r="B169" s="3" t="str">
        <f t="shared" si="8"/>
        <v>Email Abilify Maintena 960 mg En pratique_FR-AM2-2400045</v>
      </c>
      <c r="C169" s="3" t="str">
        <f>HYPERLINK("https://otsuka-europe-crm.veevavault.com/ui/#object/sent_email__v/VBL00000000V068", "SE-001394822")</f>
        <v>SE-001394822</v>
      </c>
      <c r="D169" s="4" t="s">
        <v>11</v>
      </c>
      <c r="E169" s="5">
        <v>0</v>
      </c>
      <c r="F169" s="5">
        <v>0</v>
      </c>
      <c r="G169" s="5">
        <v>0</v>
      </c>
      <c r="H169" s="4" t="s">
        <v>11</v>
      </c>
      <c r="I169" s="5">
        <v>0</v>
      </c>
      <c r="J169" s="4">
        <v>45994.571701388886</v>
      </c>
    </row>
    <row r="170" spans="1:10" x14ac:dyDescent="0.2">
      <c r="A170" s="2" t="s">
        <v>10</v>
      </c>
      <c r="B170" s="3" t="str">
        <f t="shared" si="8"/>
        <v>Email Abilify Maintena 960 mg En pratique_FR-AM2-2400045</v>
      </c>
      <c r="C170" s="3" t="str">
        <f>HYPERLINK("https://otsuka-europe-crm.veevavault.com/ui/#object/sent_email__v/VBL00000000U388", "SE-001394824")</f>
        <v>SE-001394824</v>
      </c>
      <c r="D170" s="4" t="s">
        <v>11</v>
      </c>
      <c r="E170" s="5">
        <v>0</v>
      </c>
      <c r="F170" s="5">
        <v>0</v>
      </c>
      <c r="G170" s="5">
        <v>0</v>
      </c>
      <c r="H170" s="4" t="s">
        <v>11</v>
      </c>
      <c r="I170" s="5">
        <v>0</v>
      </c>
      <c r="J170" s="4">
        <v>45994.572488425925</v>
      </c>
    </row>
    <row r="171" spans="1:10" x14ac:dyDescent="0.2">
      <c r="A171" s="2" t="s">
        <v>10</v>
      </c>
      <c r="B171" s="3" t="str">
        <f t="shared" si="8"/>
        <v>Email Abilify Maintena 960 mg En pratique_FR-AM2-2400045</v>
      </c>
      <c r="C171" s="3" t="str">
        <f>HYPERLINK("https://otsuka-europe-crm.veevavault.com/ui/#object/sent_email__v/VBL00000000V075", "SE-001394849")</f>
        <v>SE-001394849</v>
      </c>
      <c r="D171" s="4" t="s">
        <v>11</v>
      </c>
      <c r="E171" s="5">
        <v>0</v>
      </c>
      <c r="F171" s="5">
        <v>0</v>
      </c>
      <c r="G171" s="5">
        <v>0</v>
      </c>
      <c r="H171" s="4" t="s">
        <v>11</v>
      </c>
      <c r="I171" s="5">
        <v>0</v>
      </c>
      <c r="J171" s="4">
        <v>45994.588113425925</v>
      </c>
    </row>
    <row r="172" spans="1:10" x14ac:dyDescent="0.2">
      <c r="A172" s="2" t="s">
        <v>10</v>
      </c>
      <c r="B172" s="3" t="str">
        <f t="shared" si="8"/>
        <v>Email Abilify Maintena 960 mg En pratique_FR-AM2-2400045</v>
      </c>
      <c r="C172" s="3" t="str">
        <f>HYPERLINK("https://otsuka-europe-crm.veevavault.com/ui/#object/sent_email__v/VBL00000000U409", "SE-001394854")</f>
        <v>SE-001394854</v>
      </c>
      <c r="D172" s="4" t="s">
        <v>11</v>
      </c>
      <c r="E172" s="5">
        <v>0</v>
      </c>
      <c r="F172" s="5">
        <v>0</v>
      </c>
      <c r="G172" s="5">
        <v>0</v>
      </c>
      <c r="H172" s="4" t="s">
        <v>11</v>
      </c>
      <c r="I172" s="5">
        <v>0</v>
      </c>
      <c r="J172" s="4">
        <v>45994.592187499999</v>
      </c>
    </row>
    <row r="173" spans="1:10" x14ac:dyDescent="0.2">
      <c r="A173" s="2" t="s">
        <v>10</v>
      </c>
      <c r="B173" s="3" t="str">
        <f t="shared" si="8"/>
        <v>Email Abilify Maintena 960 mg En pratique_FR-AM2-2400045</v>
      </c>
      <c r="C173" s="3" t="str">
        <f>HYPERLINK("https://otsuka-europe-crm.veevavault.com/ui/#object/sent_email__v/VBL00000000V090", "SE-001394870")</f>
        <v>SE-001394870</v>
      </c>
      <c r="D173" s="4" t="s">
        <v>11</v>
      </c>
      <c r="E173" s="5">
        <v>0</v>
      </c>
      <c r="F173" s="5">
        <v>0</v>
      </c>
      <c r="G173" s="5">
        <v>0</v>
      </c>
      <c r="H173" s="4" t="s">
        <v>11</v>
      </c>
      <c r="I173" s="5">
        <v>0</v>
      </c>
      <c r="J173" s="4">
        <v>45995.380659722221</v>
      </c>
    </row>
    <row r="174" spans="1:10" x14ac:dyDescent="0.2">
      <c r="A174" s="2" t="s">
        <v>10</v>
      </c>
      <c r="B174" s="3" t="str">
        <f t="shared" si="8"/>
        <v>Email Abilify Maintena 960 mg En pratique_FR-AM2-2400045</v>
      </c>
      <c r="C174" s="3" t="str">
        <f>HYPERLINK("https://otsuka-europe-crm.veevavault.com/ui/#object/sent_email__v/VBL00000000V155", "SE-001395015")</f>
        <v>SE-001395015</v>
      </c>
      <c r="D174" s="4" t="s">
        <v>11</v>
      </c>
      <c r="E174" s="5">
        <v>0</v>
      </c>
      <c r="F174" s="5">
        <v>0</v>
      </c>
      <c r="G174" s="5">
        <v>0</v>
      </c>
      <c r="H174" s="4" t="s">
        <v>11</v>
      </c>
      <c r="I174" s="5">
        <v>0</v>
      </c>
      <c r="J174" s="4">
        <v>45995.237951388888</v>
      </c>
    </row>
    <row r="175" spans="1:10" x14ac:dyDescent="0.2">
      <c r="A175" s="2" t="s">
        <v>10</v>
      </c>
      <c r="B175" s="3" t="str">
        <f t="shared" si="8"/>
        <v>Email Abilify Maintena 960 mg En pratique_FR-AM2-2400045</v>
      </c>
      <c r="C175" s="3" t="str">
        <f>HYPERLINK("https://otsuka-europe-crm.veevavault.com/ui/#object/sent_email__v/VBL00000000V156", "SE-001395016")</f>
        <v>SE-001395016</v>
      </c>
      <c r="D175" s="4" t="s">
        <v>11</v>
      </c>
      <c r="E175" s="5">
        <v>0</v>
      </c>
      <c r="F175" s="5">
        <v>0</v>
      </c>
      <c r="G175" s="5">
        <v>0</v>
      </c>
      <c r="H175" s="4" t="s">
        <v>11</v>
      </c>
      <c r="I175" s="5">
        <v>0</v>
      </c>
      <c r="J175" s="4">
        <v>45995.237997685188</v>
      </c>
    </row>
    <row r="176" spans="1:10" x14ac:dyDescent="0.2">
      <c r="A176" s="2" t="s">
        <v>10</v>
      </c>
      <c r="B176" s="3" t="str">
        <f t="shared" si="8"/>
        <v>Email Abilify Maintena 960 mg En pratique_FR-AM2-2400045</v>
      </c>
      <c r="C176" s="3" t="str">
        <f>HYPERLINK("https://otsuka-europe-crm.veevavault.com/ui/#object/sent_email__v/VBL00000000U790", "SE-001395428")</f>
        <v>SE-001395428</v>
      </c>
      <c r="D176" s="4" t="s">
        <v>11</v>
      </c>
      <c r="E176" s="5">
        <v>0</v>
      </c>
      <c r="F176" s="5">
        <v>0</v>
      </c>
      <c r="G176" s="5">
        <v>0</v>
      </c>
      <c r="H176" s="4" t="s">
        <v>11</v>
      </c>
      <c r="I176" s="5">
        <v>0</v>
      </c>
      <c r="J176" s="4">
        <v>45995.568194444444</v>
      </c>
    </row>
    <row r="177" spans="1:10" x14ac:dyDescent="0.2">
      <c r="A177" s="2" t="s">
        <v>10</v>
      </c>
      <c r="B177" s="3" t="str">
        <f t="shared" si="8"/>
        <v>Email Abilify Maintena 960 mg En pratique_FR-AM2-2400045</v>
      </c>
      <c r="C177" s="3" t="str">
        <f>HYPERLINK("https://otsuka-europe-crm.veevavault.com/ui/#object/sent_email__v/VBL00000000V272", "SE-001395431")</f>
        <v>SE-001395431</v>
      </c>
      <c r="D177" s="4" t="s">
        <v>11</v>
      </c>
      <c r="E177" s="5">
        <v>0</v>
      </c>
      <c r="F177" s="5">
        <v>0</v>
      </c>
      <c r="G177" s="5">
        <v>0</v>
      </c>
      <c r="H177" s="4" t="s">
        <v>11</v>
      </c>
      <c r="I177" s="5">
        <v>0</v>
      </c>
      <c r="J177" s="4">
        <v>45995.569618055553</v>
      </c>
    </row>
    <row r="178" spans="1:10" x14ac:dyDescent="0.2">
      <c r="A178" s="2" t="s">
        <v>10</v>
      </c>
      <c r="B178" s="3" t="str">
        <f t="shared" si="8"/>
        <v>Email Abilify Maintena 960 mg En pratique_FR-AM2-2400045</v>
      </c>
      <c r="C178" s="3" t="str">
        <f>HYPERLINK("https://otsuka-europe-crm.veevavault.com/ui/#object/sent_email__v/VBL00000000U792", "SE-001395434")</f>
        <v>SE-001395434</v>
      </c>
      <c r="D178" s="4" t="s">
        <v>11</v>
      </c>
      <c r="E178" s="5">
        <v>0</v>
      </c>
      <c r="F178" s="5">
        <v>0</v>
      </c>
      <c r="G178" s="5">
        <v>0</v>
      </c>
      <c r="H178" s="4" t="s">
        <v>11</v>
      </c>
      <c r="I178" s="5">
        <v>0</v>
      </c>
      <c r="J178" s="4">
        <v>45995.570844907408</v>
      </c>
    </row>
    <row r="179" spans="1:10" x14ac:dyDescent="0.2">
      <c r="A179" s="2" t="s">
        <v>10</v>
      </c>
      <c r="B179" s="3" t="str">
        <f t="shared" si="8"/>
        <v>Email Abilify Maintena 960 mg En pratique_FR-AM2-2400045</v>
      </c>
      <c r="C179" s="3" t="str">
        <f>HYPERLINK("https://otsuka-europe-crm.veevavault.com/ui/#object/sent_email__v/VBL00000000W105", "SE-001395819")</f>
        <v>SE-001395819</v>
      </c>
      <c r="D179" s="4">
        <v>46000.403611111113</v>
      </c>
      <c r="E179" s="5">
        <v>1</v>
      </c>
      <c r="F179" s="5">
        <v>1</v>
      </c>
      <c r="G179" s="5">
        <v>1</v>
      </c>
      <c r="H179" s="4">
        <v>46014.520983796298</v>
      </c>
      <c r="I179" s="5">
        <v>5</v>
      </c>
      <c r="J179" s="4">
        <v>45999.756377314814</v>
      </c>
    </row>
    <row r="180" spans="1:10" x14ac:dyDescent="0.2">
      <c r="A180" s="2" t="s">
        <v>10</v>
      </c>
      <c r="B180" s="3" t="str">
        <f t="shared" si="8"/>
        <v>Email Abilify Maintena 960 mg En pratique_FR-AM2-2400045</v>
      </c>
      <c r="C180" s="3" t="str">
        <f>HYPERLINK("https://otsuka-europe-crm.veevavault.com/ui/#object/sent_email__v/VBL00000000W311", "SE-001396131")</f>
        <v>SE-001396131</v>
      </c>
      <c r="D180" s="4" t="s">
        <v>11</v>
      </c>
      <c r="E180" s="5">
        <v>0</v>
      </c>
      <c r="F180" s="5">
        <v>0</v>
      </c>
      <c r="G180" s="5">
        <v>0</v>
      </c>
      <c r="H180" s="4" t="s">
        <v>11</v>
      </c>
      <c r="I180" s="5">
        <v>0</v>
      </c>
      <c r="J180" s="4">
        <v>46001.5078125</v>
      </c>
    </row>
    <row r="181" spans="1:10" x14ac:dyDescent="0.2">
      <c r="A181" s="2" t="s">
        <v>10</v>
      </c>
      <c r="B181" s="3" t="str">
        <f t="shared" si="8"/>
        <v>Email Abilify Maintena 960 mg En pratique_FR-AM2-2400045</v>
      </c>
      <c r="C181" s="3" t="str">
        <f>HYPERLINK("https://otsuka-europe-crm.veevavault.com/ui/#object/sent_email__v/VBL00000000X499", "SE-001396365")</f>
        <v>SE-001396365</v>
      </c>
      <c r="D181" s="4" t="s">
        <v>11</v>
      </c>
      <c r="E181" s="5">
        <v>0</v>
      </c>
      <c r="F181" s="5">
        <v>0</v>
      </c>
      <c r="G181" s="5">
        <v>0</v>
      </c>
      <c r="H181" s="4" t="s">
        <v>11</v>
      </c>
      <c r="I181" s="5">
        <v>0</v>
      </c>
      <c r="J181" s="4">
        <v>46002.65</v>
      </c>
    </row>
    <row r="182" spans="1:10" x14ac:dyDescent="0.2">
      <c r="A182" s="2" t="s">
        <v>10</v>
      </c>
      <c r="B182" s="3" t="str">
        <f t="shared" si="8"/>
        <v>Email Abilify Maintena 960 mg En pratique_FR-AM2-2400045</v>
      </c>
      <c r="C182" s="3" t="str">
        <f>HYPERLINK("https://otsuka-europe-crm.veevavault.com/ui/#object/sent_email__v/VBL00000000W405", "SE-001396366")</f>
        <v>SE-001396366</v>
      </c>
      <c r="D182" s="4" t="s">
        <v>11</v>
      </c>
      <c r="E182" s="5">
        <v>0</v>
      </c>
      <c r="F182" s="5">
        <v>0</v>
      </c>
      <c r="G182" s="5">
        <v>0</v>
      </c>
      <c r="H182" s="4" t="s">
        <v>11</v>
      </c>
      <c r="I182" s="5">
        <v>0</v>
      </c>
      <c r="J182" s="4">
        <v>46002.650347222225</v>
      </c>
    </row>
    <row r="183" spans="1:10" x14ac:dyDescent="0.2">
      <c r="A183" s="2" t="s">
        <v>10</v>
      </c>
      <c r="B183" s="3" t="str">
        <f t="shared" ref="B183:B246" si="9">HYPERLINK("https://otsuka-europe-crm.veevavault.com/ui/#object/approved_document__v/V5OZ025E82N35U9", "Email Abilify Maintena 960 mg En pratique_FR-AM2-2400045")</f>
        <v>Email Abilify Maintena 960 mg En pratique_FR-AM2-2400045</v>
      </c>
      <c r="C183" s="3" t="str">
        <f>HYPERLINK("https://otsuka-europe-crm.veevavault.com/ui/#object/sent_email__v/VBL00000000Z028", "SE-001396582")</f>
        <v>SE-001396582</v>
      </c>
      <c r="D183" s="4" t="s">
        <v>11</v>
      </c>
      <c r="E183" s="5">
        <v>0</v>
      </c>
      <c r="F183" s="5">
        <v>0</v>
      </c>
      <c r="G183" s="5">
        <v>0</v>
      </c>
      <c r="H183" s="4" t="s">
        <v>11</v>
      </c>
      <c r="I183" s="5">
        <v>0</v>
      </c>
      <c r="J183" s="4">
        <v>46003.52783564815</v>
      </c>
    </row>
    <row r="184" spans="1:10" x14ac:dyDescent="0.2">
      <c r="A184" s="2" t="s">
        <v>10</v>
      </c>
      <c r="B184" s="3" t="str">
        <f t="shared" si="9"/>
        <v>Email Abilify Maintena 960 mg En pratique_FR-AM2-2400045</v>
      </c>
      <c r="C184" s="3" t="str">
        <f>HYPERLINK("https://otsuka-europe-crm.veevavault.com/ui/#object/sent_email__v/VBL00000000Z029", "SE-001396584")</f>
        <v>SE-001396584</v>
      </c>
      <c r="D184" s="4" t="s">
        <v>11</v>
      </c>
      <c r="E184" s="5">
        <v>0</v>
      </c>
      <c r="F184" s="5">
        <v>0</v>
      </c>
      <c r="G184" s="5">
        <v>0</v>
      </c>
      <c r="H184" s="4" t="s">
        <v>11</v>
      </c>
      <c r="I184" s="5">
        <v>0</v>
      </c>
      <c r="J184" s="4">
        <v>46003.5315162037</v>
      </c>
    </row>
    <row r="185" spans="1:10" x14ac:dyDescent="0.2">
      <c r="A185" s="2" t="s">
        <v>10</v>
      </c>
      <c r="B185" s="3" t="str">
        <f t="shared" si="9"/>
        <v>Email Abilify Maintena 960 mg En pratique_FR-AM2-2400045</v>
      </c>
      <c r="C185" s="3" t="str">
        <f>HYPERLINK("https://otsuka-europe-crm.veevavault.com/ui/#object/sent_email__v/VBL000000011713", "SE-001397518")</f>
        <v>SE-001397518</v>
      </c>
      <c r="D185" s="4" t="s">
        <v>11</v>
      </c>
      <c r="E185" s="5">
        <v>0</v>
      </c>
      <c r="F185" s="5">
        <v>0</v>
      </c>
      <c r="G185" s="5">
        <v>0</v>
      </c>
      <c r="H185" s="4" t="s">
        <v>11</v>
      </c>
      <c r="I185" s="5">
        <v>0</v>
      </c>
      <c r="J185" s="4">
        <v>46008.65253472222</v>
      </c>
    </row>
    <row r="186" spans="1:10" x14ac:dyDescent="0.2">
      <c r="A186" s="2" t="s">
        <v>10</v>
      </c>
      <c r="B186" s="3" t="str">
        <f t="shared" si="9"/>
        <v>Email Abilify Maintena 960 mg En pratique_FR-AM2-2400045</v>
      </c>
      <c r="C186" s="3" t="str">
        <f>HYPERLINK("https://otsuka-europe-crm.veevavault.com/ui/#object/sent_email__v/VBL000000010210", "SE-001397519")</f>
        <v>SE-001397519</v>
      </c>
      <c r="D186" s="4" t="s">
        <v>11</v>
      </c>
      <c r="E186" s="5">
        <v>0</v>
      </c>
      <c r="F186" s="5">
        <v>0</v>
      </c>
      <c r="G186" s="5">
        <v>0</v>
      </c>
      <c r="H186" s="4" t="s">
        <v>11</v>
      </c>
      <c r="I186" s="5">
        <v>0</v>
      </c>
      <c r="J186" s="4">
        <v>46008.656122685185</v>
      </c>
    </row>
    <row r="187" spans="1:10" x14ac:dyDescent="0.2">
      <c r="A187" s="2" t="s">
        <v>10</v>
      </c>
      <c r="B187" s="3" t="str">
        <f t="shared" si="9"/>
        <v>Email Abilify Maintena 960 mg En pratique_FR-AM2-2400045</v>
      </c>
      <c r="C187" s="3" t="str">
        <f>HYPERLINK("https://otsuka-europe-crm.veevavault.com/ui/#object/sent_email__v/VBL000000011714", "SE-001397520")</f>
        <v>SE-001397520</v>
      </c>
      <c r="D187" s="4" t="s">
        <v>11</v>
      </c>
      <c r="E187" s="5">
        <v>0</v>
      </c>
      <c r="F187" s="5">
        <v>0</v>
      </c>
      <c r="G187" s="5">
        <v>0</v>
      </c>
      <c r="H187" s="4" t="s">
        <v>11</v>
      </c>
      <c r="I187" s="5">
        <v>0</v>
      </c>
      <c r="J187" s="4">
        <v>46008.658530092594</v>
      </c>
    </row>
    <row r="188" spans="1:10" x14ac:dyDescent="0.2">
      <c r="A188" s="2" t="s">
        <v>10</v>
      </c>
      <c r="B188" s="3" t="str">
        <f t="shared" si="9"/>
        <v>Email Abilify Maintena 960 mg En pratique_FR-AM2-2400045</v>
      </c>
      <c r="C188" s="3" t="str">
        <f>HYPERLINK("https://otsuka-europe-crm.veevavault.com/ui/#object/sent_email__v/VBL000000011715", "SE-001397521")</f>
        <v>SE-001397521</v>
      </c>
      <c r="D188" s="4" t="s">
        <v>11</v>
      </c>
      <c r="E188" s="5">
        <v>0</v>
      </c>
      <c r="F188" s="5">
        <v>0</v>
      </c>
      <c r="G188" s="5">
        <v>0</v>
      </c>
      <c r="H188" s="4" t="s">
        <v>11</v>
      </c>
      <c r="I188" s="5">
        <v>0</v>
      </c>
      <c r="J188" s="4">
        <v>46008.659189814818</v>
      </c>
    </row>
    <row r="189" spans="1:10" x14ac:dyDescent="0.2">
      <c r="A189" s="2" t="s">
        <v>10</v>
      </c>
      <c r="B189" s="3" t="str">
        <f t="shared" si="9"/>
        <v>Email Abilify Maintena 960 mg En pratique_FR-AM2-2400045</v>
      </c>
      <c r="C189" s="3" t="str">
        <f>HYPERLINK("https://otsuka-europe-crm.veevavault.com/ui/#object/sent_email__v/VBL000000011716", "SE-001397522")</f>
        <v>SE-001397522</v>
      </c>
      <c r="D189" s="4" t="s">
        <v>11</v>
      </c>
      <c r="E189" s="5">
        <v>0</v>
      </c>
      <c r="F189" s="5">
        <v>0</v>
      </c>
      <c r="G189" s="5">
        <v>0</v>
      </c>
      <c r="H189" s="4" t="s">
        <v>11</v>
      </c>
      <c r="I189" s="5">
        <v>0</v>
      </c>
      <c r="J189" s="4">
        <v>46008.659803240742</v>
      </c>
    </row>
    <row r="190" spans="1:10" x14ac:dyDescent="0.2">
      <c r="A190" s="2" t="s">
        <v>10</v>
      </c>
      <c r="B190" s="3" t="str">
        <f t="shared" si="9"/>
        <v>Email Abilify Maintena 960 mg En pratique_FR-AM2-2400045</v>
      </c>
      <c r="C190" s="3" t="str">
        <f>HYPERLINK("https://otsuka-europe-crm.veevavault.com/ui/#object/sent_email__v/VBL000000010212", "SE-001397526")</f>
        <v>SE-001397526</v>
      </c>
      <c r="D190" s="4" t="s">
        <v>11</v>
      </c>
      <c r="E190" s="5">
        <v>0</v>
      </c>
      <c r="F190" s="5">
        <v>0</v>
      </c>
      <c r="G190" s="5">
        <v>0</v>
      </c>
      <c r="H190" s="4" t="s">
        <v>11</v>
      </c>
      <c r="I190" s="5">
        <v>0</v>
      </c>
      <c r="J190" s="4">
        <v>46008.662152777775</v>
      </c>
    </row>
    <row r="191" spans="1:10" x14ac:dyDescent="0.2">
      <c r="A191" s="2" t="s">
        <v>10</v>
      </c>
      <c r="B191" s="3" t="str">
        <f t="shared" si="9"/>
        <v>Email Abilify Maintena 960 mg En pratique_FR-AM2-2400045</v>
      </c>
      <c r="C191" s="3" t="str">
        <f>HYPERLINK("https://otsuka-europe-crm.veevavault.com/ui/#object/sent_email__v/VBL000000013784", "SE-001399223")</f>
        <v>SE-001399223</v>
      </c>
      <c r="D191" s="4" t="s">
        <v>11</v>
      </c>
      <c r="E191" s="5">
        <v>0</v>
      </c>
      <c r="F191" s="5">
        <v>0</v>
      </c>
      <c r="G191" s="5">
        <v>0</v>
      </c>
      <c r="H191" s="4" t="s">
        <v>11</v>
      </c>
      <c r="I191" s="5">
        <v>0</v>
      </c>
      <c r="J191" s="4">
        <v>46028.406770833331</v>
      </c>
    </row>
    <row r="192" spans="1:10" x14ac:dyDescent="0.2">
      <c r="A192" s="2" t="s">
        <v>10</v>
      </c>
      <c r="B192" s="3" t="str">
        <f t="shared" si="9"/>
        <v>Email Abilify Maintena 960 mg En pratique_FR-AM2-2400045</v>
      </c>
      <c r="C192" s="3" t="str">
        <f>HYPERLINK("https://otsuka-europe-crm.veevavault.com/ui/#object/sent_email__v/VBL000000012620", "SE-001399249")</f>
        <v>SE-001399249</v>
      </c>
      <c r="D192" s="4" t="s">
        <v>11</v>
      </c>
      <c r="E192" s="5">
        <v>0</v>
      </c>
      <c r="F192" s="5">
        <v>0</v>
      </c>
      <c r="G192" s="5">
        <v>0</v>
      </c>
      <c r="H192" s="4" t="s">
        <v>11</v>
      </c>
      <c r="I192" s="5">
        <v>0</v>
      </c>
      <c r="J192" s="4">
        <v>46028.438530092593</v>
      </c>
    </row>
    <row r="193" spans="1:10" x14ac:dyDescent="0.2">
      <c r="A193" s="2" t="s">
        <v>10</v>
      </c>
      <c r="B193" s="3" t="str">
        <f t="shared" si="9"/>
        <v>Email Abilify Maintena 960 mg En pratique_FR-AM2-2400045</v>
      </c>
      <c r="C193" s="3" t="str">
        <f>HYPERLINK("https://otsuka-europe-crm.veevavault.com/ui/#object/sent_email__v/VBL000000012621", "SE-001399250")</f>
        <v>SE-001399250</v>
      </c>
      <c r="D193" s="4" t="s">
        <v>11</v>
      </c>
      <c r="E193" s="5">
        <v>0</v>
      </c>
      <c r="F193" s="5">
        <v>0</v>
      </c>
      <c r="G193" s="5">
        <v>0</v>
      </c>
      <c r="H193" s="4" t="s">
        <v>11</v>
      </c>
      <c r="I193" s="5">
        <v>0</v>
      </c>
      <c r="J193" s="4">
        <v>46028.438564814816</v>
      </c>
    </row>
    <row r="194" spans="1:10" x14ac:dyDescent="0.2">
      <c r="A194" s="2" t="s">
        <v>10</v>
      </c>
      <c r="B194" s="3" t="str">
        <f t="shared" si="9"/>
        <v>Email Abilify Maintena 960 mg En pratique_FR-AM2-2400045</v>
      </c>
      <c r="C194" s="3" t="str">
        <f>HYPERLINK("https://otsuka-europe-crm.veevavault.com/ui/#object/sent_email__v/VBL000000012622", "SE-001399251")</f>
        <v>SE-001399251</v>
      </c>
      <c r="D194" s="4">
        <v>46034.703657407408</v>
      </c>
      <c r="E194" s="5">
        <v>1</v>
      </c>
      <c r="F194" s="5">
        <v>1</v>
      </c>
      <c r="G194" s="5">
        <v>0</v>
      </c>
      <c r="H194" s="4" t="s">
        <v>11</v>
      </c>
      <c r="I194" s="5">
        <v>0</v>
      </c>
      <c r="J194" s="4">
        <v>46028.438611111109</v>
      </c>
    </row>
    <row r="195" spans="1:10" x14ac:dyDescent="0.2">
      <c r="A195" s="2" t="s">
        <v>10</v>
      </c>
      <c r="B195" s="3" t="str">
        <f t="shared" si="9"/>
        <v>Email Abilify Maintena 960 mg En pratique_FR-AM2-2400045</v>
      </c>
      <c r="C195" s="3" t="str">
        <f>HYPERLINK("https://otsuka-europe-crm.veevavault.com/ui/#object/sent_email__v/VBL000000012623", "SE-001399252")</f>
        <v>SE-001399252</v>
      </c>
      <c r="D195" s="4" t="s">
        <v>11</v>
      </c>
      <c r="E195" s="5">
        <v>0</v>
      </c>
      <c r="F195" s="5">
        <v>0</v>
      </c>
      <c r="G195" s="5">
        <v>0</v>
      </c>
      <c r="H195" s="4" t="s">
        <v>11</v>
      </c>
      <c r="I195" s="5">
        <v>0</v>
      </c>
      <c r="J195" s="4">
        <v>46028.438645833332</v>
      </c>
    </row>
    <row r="196" spans="1:10" x14ac:dyDescent="0.2">
      <c r="A196" s="2" t="s">
        <v>10</v>
      </c>
      <c r="B196" s="3" t="str">
        <f t="shared" si="9"/>
        <v>Email Abilify Maintena 960 mg En pratique_FR-AM2-2400045</v>
      </c>
      <c r="C196" s="3" t="str">
        <f>HYPERLINK("https://otsuka-europe-crm.veevavault.com/ui/#object/sent_email__v/VBL000000012624", "SE-001399253")</f>
        <v>SE-001399253</v>
      </c>
      <c r="D196" s="4" t="s">
        <v>11</v>
      </c>
      <c r="E196" s="5">
        <v>0</v>
      </c>
      <c r="F196" s="5">
        <v>0</v>
      </c>
      <c r="G196" s="5">
        <v>0</v>
      </c>
      <c r="H196" s="4" t="s">
        <v>11</v>
      </c>
      <c r="I196" s="5">
        <v>0</v>
      </c>
      <c r="J196" s="4">
        <v>46028.438668981478</v>
      </c>
    </row>
    <row r="197" spans="1:10" x14ac:dyDescent="0.2">
      <c r="A197" s="2" t="s">
        <v>10</v>
      </c>
      <c r="B197" s="3" t="str">
        <f t="shared" si="9"/>
        <v>Email Abilify Maintena 960 mg En pratique_FR-AM2-2400045</v>
      </c>
      <c r="C197" s="3" t="str">
        <f>HYPERLINK("https://otsuka-europe-crm.veevavault.com/ui/#object/sent_email__v/VBL000000012625", "SE-001399254")</f>
        <v>SE-001399254</v>
      </c>
      <c r="D197" s="4" t="s">
        <v>11</v>
      </c>
      <c r="E197" s="5">
        <v>0</v>
      </c>
      <c r="F197" s="5">
        <v>0</v>
      </c>
      <c r="G197" s="5">
        <v>0</v>
      </c>
      <c r="H197" s="4" t="s">
        <v>11</v>
      </c>
      <c r="I197" s="5">
        <v>0</v>
      </c>
      <c r="J197" s="4">
        <v>46028.438703703701</v>
      </c>
    </row>
    <row r="198" spans="1:10" x14ac:dyDescent="0.2">
      <c r="A198" s="2" t="s">
        <v>10</v>
      </c>
      <c r="B198" s="3" t="str">
        <f t="shared" si="9"/>
        <v>Email Abilify Maintena 960 mg En pratique_FR-AM2-2400045</v>
      </c>
      <c r="C198" s="3" t="str">
        <f>HYPERLINK("https://otsuka-europe-crm.veevavault.com/ui/#object/sent_email__v/VBL000000012626", "SE-001399255")</f>
        <v>SE-001399255</v>
      </c>
      <c r="D198" s="4" t="s">
        <v>11</v>
      </c>
      <c r="E198" s="5">
        <v>0</v>
      </c>
      <c r="F198" s="5">
        <v>0</v>
      </c>
      <c r="G198" s="5">
        <v>0</v>
      </c>
      <c r="H198" s="4" t="s">
        <v>11</v>
      </c>
      <c r="I198" s="5">
        <v>0</v>
      </c>
      <c r="J198" s="4">
        <v>46028.438738425924</v>
      </c>
    </row>
    <row r="199" spans="1:10" x14ac:dyDescent="0.2">
      <c r="A199" s="2" t="s">
        <v>10</v>
      </c>
      <c r="B199" s="3" t="str">
        <f t="shared" si="9"/>
        <v>Email Abilify Maintena 960 mg En pratique_FR-AM2-2400045</v>
      </c>
      <c r="C199" s="3" t="str">
        <f>HYPERLINK("https://otsuka-europe-crm.veevavault.com/ui/#object/sent_email__v/VBL000000012627", "SE-001399256")</f>
        <v>SE-001399256</v>
      </c>
      <c r="D199" s="4" t="s">
        <v>11</v>
      </c>
      <c r="E199" s="5">
        <v>0</v>
      </c>
      <c r="F199" s="5">
        <v>0</v>
      </c>
      <c r="G199" s="5">
        <v>0</v>
      </c>
      <c r="H199" s="4" t="s">
        <v>11</v>
      </c>
      <c r="I199" s="5">
        <v>0</v>
      </c>
      <c r="J199" s="4">
        <v>46028.438784722224</v>
      </c>
    </row>
    <row r="200" spans="1:10" x14ac:dyDescent="0.2">
      <c r="A200" s="2" t="s">
        <v>10</v>
      </c>
      <c r="B200" s="3" t="str">
        <f t="shared" si="9"/>
        <v>Email Abilify Maintena 960 mg En pratique_FR-AM2-2400045</v>
      </c>
      <c r="C200" s="3" t="str">
        <f>HYPERLINK("https://otsuka-europe-crm.veevavault.com/ui/#object/sent_email__v/VBL000000012628", "SE-001399257")</f>
        <v>SE-001399257</v>
      </c>
      <c r="D200" s="4">
        <v>46036.804259259261</v>
      </c>
      <c r="E200" s="5">
        <v>1</v>
      </c>
      <c r="F200" s="5">
        <v>5</v>
      </c>
      <c r="G200" s="5">
        <v>0</v>
      </c>
      <c r="H200" s="4" t="s">
        <v>11</v>
      </c>
      <c r="I200" s="5">
        <v>0</v>
      </c>
      <c r="J200" s="4">
        <v>46028.438807870371</v>
      </c>
    </row>
    <row r="201" spans="1:10" x14ac:dyDescent="0.2">
      <c r="A201" s="2" t="s">
        <v>10</v>
      </c>
      <c r="B201" s="3" t="str">
        <f t="shared" si="9"/>
        <v>Email Abilify Maintena 960 mg En pratique_FR-AM2-2400045</v>
      </c>
      <c r="C201" s="3" t="str">
        <f>HYPERLINK("https://otsuka-europe-crm.veevavault.com/ui/#object/sent_email__v/VBL000000012629", "SE-001399258")</f>
        <v>SE-001399258</v>
      </c>
      <c r="D201" s="4">
        <v>46028.447928240741</v>
      </c>
      <c r="E201" s="5">
        <v>1</v>
      </c>
      <c r="F201" s="5">
        <v>2</v>
      </c>
      <c r="G201" s="5">
        <v>0</v>
      </c>
      <c r="H201" s="4" t="s">
        <v>11</v>
      </c>
      <c r="I201" s="5">
        <v>0</v>
      </c>
      <c r="J201" s="4">
        <v>46028.438854166663</v>
      </c>
    </row>
    <row r="202" spans="1:10" x14ac:dyDescent="0.2">
      <c r="A202" s="2" t="s">
        <v>10</v>
      </c>
      <c r="B202" s="3" t="str">
        <f t="shared" si="9"/>
        <v>Email Abilify Maintena 960 mg En pratique_FR-AM2-2400045</v>
      </c>
      <c r="C202" s="3" t="str">
        <f>HYPERLINK("https://otsuka-europe-crm.veevavault.com/ui/#object/sent_email__v/VBL000000012630", "SE-001399259")</f>
        <v>SE-001399259</v>
      </c>
      <c r="D202" s="4" t="s">
        <v>11</v>
      </c>
      <c r="E202" s="5">
        <v>0</v>
      </c>
      <c r="F202" s="5">
        <v>0</v>
      </c>
      <c r="G202" s="5">
        <v>0</v>
      </c>
      <c r="H202" s="4" t="s">
        <v>11</v>
      </c>
      <c r="I202" s="5">
        <v>0</v>
      </c>
      <c r="J202" s="4">
        <v>46028.438888888886</v>
      </c>
    </row>
    <row r="203" spans="1:10" x14ac:dyDescent="0.2">
      <c r="A203" s="2" t="s">
        <v>10</v>
      </c>
      <c r="B203" s="3" t="str">
        <f t="shared" si="9"/>
        <v>Email Abilify Maintena 960 mg En pratique_FR-AM2-2400045</v>
      </c>
      <c r="C203" s="3" t="str">
        <f>HYPERLINK("https://otsuka-europe-crm.veevavault.com/ui/#object/sent_email__v/VBL000000012631", "SE-001399260")</f>
        <v>SE-001399260</v>
      </c>
      <c r="D203" s="4" t="s">
        <v>11</v>
      </c>
      <c r="E203" s="5">
        <v>0</v>
      </c>
      <c r="F203" s="5">
        <v>0</v>
      </c>
      <c r="G203" s="5">
        <v>0</v>
      </c>
      <c r="H203" s="4" t="s">
        <v>11</v>
      </c>
      <c r="I203" s="5">
        <v>0</v>
      </c>
      <c r="J203" s="4">
        <v>46028.438923611109</v>
      </c>
    </row>
    <row r="204" spans="1:10" x14ac:dyDescent="0.2">
      <c r="A204" s="2" t="s">
        <v>10</v>
      </c>
      <c r="B204" s="3" t="str">
        <f t="shared" si="9"/>
        <v>Email Abilify Maintena 960 mg En pratique_FR-AM2-2400045</v>
      </c>
      <c r="C204" s="3" t="str">
        <f>HYPERLINK("https://otsuka-europe-crm.veevavault.com/ui/#object/sent_email__v/VBL000000012632", "SE-001399261")</f>
        <v>SE-001399261</v>
      </c>
      <c r="D204" s="4">
        <v>46030.386157407411</v>
      </c>
      <c r="E204" s="5">
        <v>1</v>
      </c>
      <c r="F204" s="5">
        <v>4</v>
      </c>
      <c r="G204" s="5">
        <v>0</v>
      </c>
      <c r="H204" s="4" t="s">
        <v>11</v>
      </c>
      <c r="I204" s="5">
        <v>0</v>
      </c>
      <c r="J204" s="4">
        <v>46028.438958333332</v>
      </c>
    </row>
    <row r="205" spans="1:10" x14ac:dyDescent="0.2">
      <c r="A205" s="2" t="s">
        <v>10</v>
      </c>
      <c r="B205" s="3" t="str">
        <f t="shared" si="9"/>
        <v>Email Abilify Maintena 960 mg En pratique_FR-AM2-2400045</v>
      </c>
      <c r="C205" s="3" t="str">
        <f>HYPERLINK("https://otsuka-europe-crm.veevavault.com/ui/#object/sent_email__v/VBL000000012633", "SE-001399262")</f>
        <v>SE-001399262</v>
      </c>
      <c r="D205" s="4" t="s">
        <v>11</v>
      </c>
      <c r="E205" s="5">
        <v>0</v>
      </c>
      <c r="F205" s="5">
        <v>0</v>
      </c>
      <c r="G205" s="5">
        <v>0</v>
      </c>
      <c r="H205" s="4" t="s">
        <v>11</v>
      </c>
      <c r="I205" s="5">
        <v>0</v>
      </c>
      <c r="J205" s="4">
        <v>46028.438993055555</v>
      </c>
    </row>
    <row r="206" spans="1:10" x14ac:dyDescent="0.2">
      <c r="A206" s="2" t="s">
        <v>10</v>
      </c>
      <c r="B206" s="3" t="str">
        <f t="shared" si="9"/>
        <v>Email Abilify Maintena 960 mg En pratique_FR-AM2-2400045</v>
      </c>
      <c r="C206" s="3" t="str">
        <f>HYPERLINK("https://otsuka-europe-crm.veevavault.com/ui/#object/sent_email__v/VBL000000012634", "SE-001399263")</f>
        <v>SE-001399263</v>
      </c>
      <c r="D206" s="4" t="s">
        <v>11</v>
      </c>
      <c r="E206" s="5">
        <v>0</v>
      </c>
      <c r="F206" s="5">
        <v>0</v>
      </c>
      <c r="G206" s="5">
        <v>0</v>
      </c>
      <c r="H206" s="4" t="s">
        <v>11</v>
      </c>
      <c r="I206" s="5">
        <v>0</v>
      </c>
      <c r="J206" s="4">
        <v>46028.439039351855</v>
      </c>
    </row>
    <row r="207" spans="1:10" x14ac:dyDescent="0.2">
      <c r="A207" s="2" t="s">
        <v>10</v>
      </c>
      <c r="B207" s="3" t="str">
        <f t="shared" si="9"/>
        <v>Email Abilify Maintena 960 mg En pratique_FR-AM2-2400045</v>
      </c>
      <c r="C207" s="3" t="str">
        <f>HYPERLINK("https://otsuka-europe-crm.veevavault.com/ui/#object/sent_email__v/VBL000000012635", "SE-001399264")</f>
        <v>SE-001399264</v>
      </c>
      <c r="D207" s="4" t="s">
        <v>11</v>
      </c>
      <c r="E207" s="5">
        <v>0</v>
      </c>
      <c r="F207" s="5">
        <v>0</v>
      </c>
      <c r="G207" s="5">
        <v>0</v>
      </c>
      <c r="H207" s="4" t="s">
        <v>11</v>
      </c>
      <c r="I207" s="5">
        <v>0</v>
      </c>
      <c r="J207" s="4">
        <v>46028.439074074071</v>
      </c>
    </row>
    <row r="208" spans="1:10" x14ac:dyDescent="0.2">
      <c r="A208" s="2" t="s">
        <v>10</v>
      </c>
      <c r="B208" s="3" t="str">
        <f t="shared" si="9"/>
        <v>Email Abilify Maintena 960 mg En pratique_FR-AM2-2400045</v>
      </c>
      <c r="C208" s="3" t="str">
        <f>HYPERLINK("https://otsuka-europe-crm.veevavault.com/ui/#object/sent_email__v/VBL000000012636", "SE-001399265")</f>
        <v>SE-001399265</v>
      </c>
      <c r="D208" s="4" t="s">
        <v>11</v>
      </c>
      <c r="E208" s="5">
        <v>0</v>
      </c>
      <c r="F208" s="5">
        <v>0</v>
      </c>
      <c r="G208" s="5">
        <v>0</v>
      </c>
      <c r="H208" s="4" t="s">
        <v>11</v>
      </c>
      <c r="I208" s="5">
        <v>0</v>
      </c>
      <c r="J208" s="4">
        <v>46028.439108796294</v>
      </c>
    </row>
    <row r="209" spans="1:10" x14ac:dyDescent="0.2">
      <c r="A209" s="2" t="s">
        <v>10</v>
      </c>
      <c r="B209" s="3" t="str">
        <f t="shared" si="9"/>
        <v>Email Abilify Maintena 960 mg En pratique_FR-AM2-2400045</v>
      </c>
      <c r="C209" s="3" t="str">
        <f>HYPERLINK("https://otsuka-europe-crm.veevavault.com/ui/#object/sent_email__v/VBL000000012637", "SE-001399266")</f>
        <v>SE-001399266</v>
      </c>
      <c r="D209" s="4" t="s">
        <v>11</v>
      </c>
      <c r="E209" s="5">
        <v>0</v>
      </c>
      <c r="F209" s="5">
        <v>0</v>
      </c>
      <c r="G209" s="5">
        <v>0</v>
      </c>
      <c r="H209" s="4" t="s">
        <v>11</v>
      </c>
      <c r="I209" s="5">
        <v>0</v>
      </c>
      <c r="J209" s="4">
        <v>46028.439143518517</v>
      </c>
    </row>
    <row r="210" spans="1:10" x14ac:dyDescent="0.2">
      <c r="A210" s="2" t="s">
        <v>10</v>
      </c>
      <c r="B210" s="3" t="str">
        <f t="shared" si="9"/>
        <v>Email Abilify Maintena 960 mg En pratique_FR-AM2-2400045</v>
      </c>
      <c r="C210" s="3" t="str">
        <f>HYPERLINK("https://otsuka-europe-crm.veevavault.com/ui/#object/sent_email__v/VBL000000012638", "SE-001399267")</f>
        <v>SE-001399267</v>
      </c>
      <c r="D210" s="4">
        <v>46028.439872685187</v>
      </c>
      <c r="E210" s="5">
        <v>1</v>
      </c>
      <c r="F210" s="5">
        <v>1</v>
      </c>
      <c r="G210" s="5">
        <v>0</v>
      </c>
      <c r="H210" s="4" t="s">
        <v>11</v>
      </c>
      <c r="I210" s="5">
        <v>0</v>
      </c>
      <c r="J210" s="4">
        <v>46028.439189814817</v>
      </c>
    </row>
    <row r="211" spans="1:10" x14ac:dyDescent="0.2">
      <c r="A211" s="2" t="s">
        <v>10</v>
      </c>
      <c r="B211" s="3" t="str">
        <f t="shared" si="9"/>
        <v>Email Abilify Maintena 960 mg En pratique_FR-AM2-2400045</v>
      </c>
      <c r="C211" s="3" t="str">
        <f>HYPERLINK("https://otsuka-europe-crm.veevavault.com/ui/#object/sent_email__v/VBL000000012639", "SE-001399268")</f>
        <v>SE-001399268</v>
      </c>
      <c r="D211" s="4">
        <v>46028.454942129632</v>
      </c>
      <c r="E211" s="5">
        <v>1</v>
      </c>
      <c r="F211" s="5">
        <v>1</v>
      </c>
      <c r="G211" s="5">
        <v>0</v>
      </c>
      <c r="H211" s="4" t="s">
        <v>11</v>
      </c>
      <c r="I211" s="5">
        <v>0</v>
      </c>
      <c r="J211" s="4">
        <v>46028.43922453704</v>
      </c>
    </row>
    <row r="212" spans="1:10" x14ac:dyDescent="0.2">
      <c r="A212" s="2" t="s">
        <v>10</v>
      </c>
      <c r="B212" s="3" t="str">
        <f t="shared" si="9"/>
        <v>Email Abilify Maintena 960 mg En pratique_FR-AM2-2400045</v>
      </c>
      <c r="C212" s="3" t="str">
        <f>HYPERLINK("https://otsuka-europe-crm.veevavault.com/ui/#object/sent_email__v/VBL000000012640", "SE-001399269")</f>
        <v>SE-001399269</v>
      </c>
      <c r="D212" s="4" t="s">
        <v>11</v>
      </c>
      <c r="E212" s="5">
        <v>0</v>
      </c>
      <c r="F212" s="5">
        <v>0</v>
      </c>
      <c r="G212" s="5">
        <v>0</v>
      </c>
      <c r="H212" s="4" t="s">
        <v>11</v>
      </c>
      <c r="I212" s="5">
        <v>0</v>
      </c>
      <c r="J212" s="4">
        <v>46028.439259259256</v>
      </c>
    </row>
    <row r="213" spans="1:10" x14ac:dyDescent="0.2">
      <c r="A213" s="2" t="s">
        <v>10</v>
      </c>
      <c r="B213" s="3" t="str">
        <f t="shared" si="9"/>
        <v>Email Abilify Maintena 960 mg En pratique_FR-AM2-2400045</v>
      </c>
      <c r="C213" s="3" t="str">
        <f>HYPERLINK("https://otsuka-europe-crm.veevavault.com/ui/#object/sent_email__v/VBL000000012641", "SE-001399270")</f>
        <v>SE-001399270</v>
      </c>
      <c r="D213" s="4" t="s">
        <v>11</v>
      </c>
      <c r="E213" s="5">
        <v>0</v>
      </c>
      <c r="F213" s="5">
        <v>0</v>
      </c>
      <c r="G213" s="5">
        <v>0</v>
      </c>
      <c r="H213" s="4" t="s">
        <v>11</v>
      </c>
      <c r="I213" s="5">
        <v>0</v>
      </c>
      <c r="J213" s="4">
        <v>46028.439305555556</v>
      </c>
    </row>
    <row r="214" spans="1:10" x14ac:dyDescent="0.2">
      <c r="A214" s="2" t="s">
        <v>10</v>
      </c>
      <c r="B214" s="3" t="str">
        <f t="shared" si="9"/>
        <v>Email Abilify Maintena 960 mg En pratique_FR-AM2-2400045</v>
      </c>
      <c r="C214" s="3" t="str">
        <f>HYPERLINK("https://otsuka-europe-crm.veevavault.com/ui/#object/sent_email__v/VBL000000012642", "SE-001399271")</f>
        <v>SE-001399271</v>
      </c>
      <c r="D214" s="4" t="s">
        <v>11</v>
      </c>
      <c r="E214" s="5">
        <v>0</v>
      </c>
      <c r="F214" s="5">
        <v>0</v>
      </c>
      <c r="G214" s="5">
        <v>0</v>
      </c>
      <c r="H214" s="4" t="s">
        <v>11</v>
      </c>
      <c r="I214" s="5">
        <v>0</v>
      </c>
      <c r="J214" s="4">
        <v>46028.439340277779</v>
      </c>
    </row>
    <row r="215" spans="1:10" x14ac:dyDescent="0.2">
      <c r="A215" s="2" t="s">
        <v>10</v>
      </c>
      <c r="B215" s="3" t="str">
        <f t="shared" si="9"/>
        <v>Email Abilify Maintena 960 mg En pratique_FR-AM2-2400045</v>
      </c>
      <c r="C215" s="3" t="str">
        <f>HYPERLINK("https://otsuka-europe-crm.veevavault.com/ui/#object/sent_email__v/VBL000000012643", "SE-001399272")</f>
        <v>SE-001399272</v>
      </c>
      <c r="D215" s="4" t="s">
        <v>11</v>
      </c>
      <c r="E215" s="5">
        <v>0</v>
      </c>
      <c r="F215" s="5">
        <v>0</v>
      </c>
      <c r="G215" s="5">
        <v>0</v>
      </c>
      <c r="H215" s="4" t="s">
        <v>11</v>
      </c>
      <c r="I215" s="5">
        <v>0</v>
      </c>
      <c r="J215" s="4">
        <v>46028.439375000002</v>
      </c>
    </row>
    <row r="216" spans="1:10" x14ac:dyDescent="0.2">
      <c r="A216" s="2" t="s">
        <v>10</v>
      </c>
      <c r="B216" s="3" t="str">
        <f t="shared" si="9"/>
        <v>Email Abilify Maintena 960 mg En pratique_FR-AM2-2400045</v>
      </c>
      <c r="C216" s="3" t="str">
        <f>HYPERLINK("https://otsuka-europe-crm.veevavault.com/ui/#object/sent_email__v/VBL000000012644", "SE-001399273")</f>
        <v>SE-001399273</v>
      </c>
      <c r="D216" s="4" t="s">
        <v>11</v>
      </c>
      <c r="E216" s="5">
        <v>0</v>
      </c>
      <c r="F216" s="5">
        <v>0</v>
      </c>
      <c r="G216" s="5">
        <v>0</v>
      </c>
      <c r="H216" s="4" t="s">
        <v>11</v>
      </c>
      <c r="I216" s="5">
        <v>0</v>
      </c>
      <c r="J216" s="4">
        <v>46028.439409722225</v>
      </c>
    </row>
    <row r="217" spans="1:10" x14ac:dyDescent="0.2">
      <c r="A217" s="2" t="s">
        <v>10</v>
      </c>
      <c r="B217" s="3" t="str">
        <f t="shared" si="9"/>
        <v>Email Abilify Maintena 960 mg En pratique_FR-AM2-2400045</v>
      </c>
      <c r="C217" s="3" t="str">
        <f>HYPERLINK("https://otsuka-europe-crm.veevavault.com/ui/#object/sent_email__v/VBL000000012645", "SE-001399274")</f>
        <v>SE-001399274</v>
      </c>
      <c r="D217" s="4" t="s">
        <v>11</v>
      </c>
      <c r="E217" s="5">
        <v>0</v>
      </c>
      <c r="F217" s="5">
        <v>0</v>
      </c>
      <c r="G217" s="5">
        <v>0</v>
      </c>
      <c r="H217" s="4" t="s">
        <v>11</v>
      </c>
      <c r="I217" s="5">
        <v>0</v>
      </c>
      <c r="J217" s="4">
        <v>46028.439444444448</v>
      </c>
    </row>
    <row r="218" spans="1:10" x14ac:dyDescent="0.2">
      <c r="A218" s="2" t="s">
        <v>10</v>
      </c>
      <c r="B218" s="3" t="str">
        <f t="shared" si="9"/>
        <v>Email Abilify Maintena 960 mg En pratique_FR-AM2-2400045</v>
      </c>
      <c r="C218" s="3" t="str">
        <f>HYPERLINK("https://otsuka-europe-crm.veevavault.com/ui/#object/sent_email__v/VBL000000012646", "SE-001399275")</f>
        <v>SE-001399275</v>
      </c>
      <c r="D218" s="4" t="s">
        <v>11</v>
      </c>
      <c r="E218" s="5">
        <v>0</v>
      </c>
      <c r="F218" s="5">
        <v>0</v>
      </c>
      <c r="G218" s="5">
        <v>0</v>
      </c>
      <c r="H218" s="4" t="s">
        <v>11</v>
      </c>
      <c r="I218" s="5">
        <v>0</v>
      </c>
      <c r="J218" s="4">
        <v>46028.43949074074</v>
      </c>
    </row>
    <row r="219" spans="1:10" x14ac:dyDescent="0.2">
      <c r="A219" s="2" t="s">
        <v>10</v>
      </c>
      <c r="B219" s="3" t="str">
        <f t="shared" si="9"/>
        <v>Email Abilify Maintena 960 mg En pratique_FR-AM2-2400045</v>
      </c>
      <c r="C219" s="3" t="str">
        <f>HYPERLINK("https://otsuka-europe-crm.veevavault.com/ui/#object/sent_email__v/VBL000000012647", "SE-001399276")</f>
        <v>SE-001399276</v>
      </c>
      <c r="D219" s="4" t="s">
        <v>11</v>
      </c>
      <c r="E219" s="5">
        <v>0</v>
      </c>
      <c r="F219" s="5">
        <v>0</v>
      </c>
      <c r="G219" s="5">
        <v>0</v>
      </c>
      <c r="H219" s="4" t="s">
        <v>11</v>
      </c>
      <c r="I219" s="5">
        <v>0</v>
      </c>
      <c r="J219" s="4">
        <v>46028.439525462964</v>
      </c>
    </row>
    <row r="220" spans="1:10" x14ac:dyDescent="0.2">
      <c r="A220" s="2" t="s">
        <v>10</v>
      </c>
      <c r="B220" s="3" t="str">
        <f t="shared" si="9"/>
        <v>Email Abilify Maintena 960 mg En pratique_FR-AM2-2400045</v>
      </c>
      <c r="C220" s="3" t="str">
        <f>HYPERLINK("https://otsuka-europe-crm.veevavault.com/ui/#object/sent_email__v/VBL000000012648", "SE-001399277")</f>
        <v>SE-001399277</v>
      </c>
      <c r="D220" s="4" t="s">
        <v>11</v>
      </c>
      <c r="E220" s="5">
        <v>0</v>
      </c>
      <c r="F220" s="5">
        <v>0</v>
      </c>
      <c r="G220" s="5">
        <v>0</v>
      </c>
      <c r="H220" s="4" t="s">
        <v>11</v>
      </c>
      <c r="I220" s="5">
        <v>0</v>
      </c>
      <c r="J220" s="4">
        <v>46028.439560185187</v>
      </c>
    </row>
    <row r="221" spans="1:10" x14ac:dyDescent="0.2">
      <c r="A221" s="2" t="s">
        <v>10</v>
      </c>
      <c r="B221" s="3" t="str">
        <f t="shared" si="9"/>
        <v>Email Abilify Maintena 960 mg En pratique_FR-AM2-2400045</v>
      </c>
      <c r="C221" s="3" t="str">
        <f>HYPERLINK("https://otsuka-europe-crm.veevavault.com/ui/#object/sent_email__v/VBL000000012649", "SE-001399278")</f>
        <v>SE-001399278</v>
      </c>
      <c r="D221" s="4" t="s">
        <v>11</v>
      </c>
      <c r="E221" s="5">
        <v>0</v>
      </c>
      <c r="F221" s="5">
        <v>0</v>
      </c>
      <c r="G221" s="5">
        <v>0</v>
      </c>
      <c r="H221" s="4" t="s">
        <v>11</v>
      </c>
      <c r="I221" s="5">
        <v>0</v>
      </c>
      <c r="J221" s="4">
        <v>46028.43959490741</v>
      </c>
    </row>
    <row r="222" spans="1:10" x14ac:dyDescent="0.2">
      <c r="A222" s="2" t="s">
        <v>10</v>
      </c>
      <c r="B222" s="3" t="str">
        <f t="shared" si="9"/>
        <v>Email Abilify Maintena 960 mg En pratique_FR-AM2-2400045</v>
      </c>
      <c r="C222" s="3" t="str">
        <f>HYPERLINK("https://otsuka-europe-crm.veevavault.com/ui/#object/sent_email__v/VBL000000012650", "SE-001399279")</f>
        <v>SE-001399279</v>
      </c>
      <c r="D222" s="4" t="s">
        <v>11</v>
      </c>
      <c r="E222" s="5">
        <v>0</v>
      </c>
      <c r="F222" s="5">
        <v>0</v>
      </c>
      <c r="G222" s="5">
        <v>0</v>
      </c>
      <c r="H222" s="4" t="s">
        <v>11</v>
      </c>
      <c r="I222" s="5">
        <v>0</v>
      </c>
      <c r="J222" s="4">
        <v>46028.439641203702</v>
      </c>
    </row>
    <row r="223" spans="1:10" x14ac:dyDescent="0.2">
      <c r="A223" s="2" t="s">
        <v>10</v>
      </c>
      <c r="B223" s="3" t="str">
        <f t="shared" si="9"/>
        <v>Email Abilify Maintena 960 mg En pratique_FR-AM2-2400045</v>
      </c>
      <c r="C223" s="3" t="str">
        <f>HYPERLINK("https://otsuka-europe-crm.veevavault.com/ui/#object/sent_email__v/VBL000000012651", "SE-001399280")</f>
        <v>SE-001399280</v>
      </c>
      <c r="D223" s="4">
        <v>46028.556273148148</v>
      </c>
      <c r="E223" s="5">
        <v>1</v>
      </c>
      <c r="F223" s="5">
        <v>3</v>
      </c>
      <c r="G223" s="5">
        <v>0</v>
      </c>
      <c r="H223" s="4" t="s">
        <v>11</v>
      </c>
      <c r="I223" s="5">
        <v>0</v>
      </c>
      <c r="J223" s="4">
        <v>46028.439664351848</v>
      </c>
    </row>
    <row r="224" spans="1:10" x14ac:dyDescent="0.2">
      <c r="A224" s="2" t="s">
        <v>10</v>
      </c>
      <c r="B224" s="3" t="str">
        <f t="shared" si="9"/>
        <v>Email Abilify Maintena 960 mg En pratique_FR-AM2-2400045</v>
      </c>
      <c r="C224" s="3" t="str">
        <f>HYPERLINK("https://otsuka-europe-crm.veevavault.com/ui/#object/sent_email__v/VBL000000012652", "SE-001399281")</f>
        <v>SE-001399281</v>
      </c>
      <c r="D224" s="4" t="s">
        <v>11</v>
      </c>
      <c r="E224" s="5">
        <v>0</v>
      </c>
      <c r="F224" s="5">
        <v>0</v>
      </c>
      <c r="G224" s="5">
        <v>0</v>
      </c>
      <c r="H224" s="4" t="s">
        <v>11</v>
      </c>
      <c r="I224" s="5">
        <v>0</v>
      </c>
      <c r="J224" s="4">
        <v>46028.439710648148</v>
      </c>
    </row>
    <row r="225" spans="1:10" x14ac:dyDescent="0.2">
      <c r="A225" s="2" t="s">
        <v>10</v>
      </c>
      <c r="B225" s="3" t="str">
        <f t="shared" si="9"/>
        <v>Email Abilify Maintena 960 mg En pratique_FR-AM2-2400045</v>
      </c>
      <c r="C225" s="3" t="str">
        <f>HYPERLINK("https://otsuka-europe-crm.veevavault.com/ui/#object/sent_email__v/VBL000000012653", "SE-001399282")</f>
        <v>SE-001399282</v>
      </c>
      <c r="D225" s="4">
        <v>46054.513553240744</v>
      </c>
      <c r="E225" s="5">
        <v>1</v>
      </c>
      <c r="F225" s="5">
        <v>3</v>
      </c>
      <c r="G225" s="5">
        <v>0</v>
      </c>
      <c r="H225" s="4" t="s">
        <v>11</v>
      </c>
      <c r="I225" s="5">
        <v>0</v>
      </c>
      <c r="J225" s="4">
        <v>46028.439745370371</v>
      </c>
    </row>
    <row r="226" spans="1:10" x14ac:dyDescent="0.2">
      <c r="A226" s="2" t="s">
        <v>10</v>
      </c>
      <c r="B226" s="3" t="str">
        <f t="shared" si="9"/>
        <v>Email Abilify Maintena 960 mg En pratique_FR-AM2-2400045</v>
      </c>
      <c r="C226" s="3" t="str">
        <f>HYPERLINK("https://otsuka-europe-crm.veevavault.com/ui/#object/sent_email__v/VBL000000012654", "SE-001399283")</f>
        <v>SE-001399283</v>
      </c>
      <c r="D226" s="4">
        <v>46029.83966435185</v>
      </c>
      <c r="E226" s="5">
        <v>1</v>
      </c>
      <c r="F226" s="5">
        <v>1</v>
      </c>
      <c r="G226" s="5">
        <v>0</v>
      </c>
      <c r="H226" s="4" t="s">
        <v>11</v>
      </c>
      <c r="I226" s="5">
        <v>0</v>
      </c>
      <c r="J226" s="4">
        <v>46028.439780092594</v>
      </c>
    </row>
    <row r="227" spans="1:10" x14ac:dyDescent="0.2">
      <c r="A227" s="2" t="s">
        <v>10</v>
      </c>
      <c r="B227" s="3" t="str">
        <f t="shared" si="9"/>
        <v>Email Abilify Maintena 960 mg En pratique_FR-AM2-2400045</v>
      </c>
      <c r="C227" s="3" t="str">
        <f>HYPERLINK("https://otsuka-europe-crm.veevavault.com/ui/#object/sent_email__v/VBL000000012655", "SE-001399284")</f>
        <v>SE-001399284</v>
      </c>
      <c r="D227" s="4">
        <v>46055.026064814818</v>
      </c>
      <c r="E227" s="5">
        <v>1</v>
      </c>
      <c r="F227" s="5">
        <v>2</v>
      </c>
      <c r="G227" s="5">
        <v>0</v>
      </c>
      <c r="H227" s="4" t="s">
        <v>11</v>
      </c>
      <c r="I227" s="5">
        <v>0</v>
      </c>
      <c r="J227" s="4">
        <v>46028.439814814818</v>
      </c>
    </row>
    <row r="228" spans="1:10" x14ac:dyDescent="0.2">
      <c r="A228" s="2" t="s">
        <v>10</v>
      </c>
      <c r="B228" s="3" t="str">
        <f t="shared" si="9"/>
        <v>Email Abilify Maintena 960 mg En pratique_FR-AM2-2400045</v>
      </c>
      <c r="C228" s="3" t="str">
        <f>HYPERLINK("https://otsuka-europe-crm.veevavault.com/ui/#object/sent_email__v/VBL000000012656", "SE-001399285")</f>
        <v>SE-001399285</v>
      </c>
      <c r="D228" s="4" t="s">
        <v>11</v>
      </c>
      <c r="E228" s="5">
        <v>0</v>
      </c>
      <c r="F228" s="5">
        <v>0</v>
      </c>
      <c r="G228" s="5">
        <v>0</v>
      </c>
      <c r="H228" s="4" t="s">
        <v>11</v>
      </c>
      <c r="I228" s="5">
        <v>0</v>
      </c>
      <c r="J228" s="4">
        <v>46028.439849537041</v>
      </c>
    </row>
    <row r="229" spans="1:10" x14ac:dyDescent="0.2">
      <c r="A229" s="2" t="s">
        <v>10</v>
      </c>
      <c r="B229" s="3" t="str">
        <f t="shared" si="9"/>
        <v>Email Abilify Maintena 960 mg En pratique_FR-AM2-2400045</v>
      </c>
      <c r="C229" s="3" t="str">
        <f>HYPERLINK("https://otsuka-europe-crm.veevavault.com/ui/#object/sent_email__v/VBL000000012657", "SE-001399286")</f>
        <v>SE-001399286</v>
      </c>
      <c r="D229" s="4" t="s">
        <v>11</v>
      </c>
      <c r="E229" s="5">
        <v>0</v>
      </c>
      <c r="F229" s="5">
        <v>0</v>
      </c>
      <c r="G229" s="5">
        <v>0</v>
      </c>
      <c r="H229" s="4" t="s">
        <v>11</v>
      </c>
      <c r="I229" s="5">
        <v>0</v>
      </c>
      <c r="J229" s="4">
        <v>46028.439884259256</v>
      </c>
    </row>
    <row r="230" spans="1:10" x14ac:dyDescent="0.2">
      <c r="A230" s="2" t="s">
        <v>10</v>
      </c>
      <c r="B230" s="3" t="str">
        <f t="shared" si="9"/>
        <v>Email Abilify Maintena 960 mg En pratique_FR-AM2-2400045</v>
      </c>
      <c r="C230" s="3" t="str">
        <f>HYPERLINK("https://otsuka-europe-crm.veevavault.com/ui/#object/sent_email__v/VBL000000012658", "SE-001399287")</f>
        <v>SE-001399287</v>
      </c>
      <c r="D230" s="4" t="s">
        <v>11</v>
      </c>
      <c r="E230" s="5">
        <v>0</v>
      </c>
      <c r="F230" s="5">
        <v>0</v>
      </c>
      <c r="G230" s="5">
        <v>0</v>
      </c>
      <c r="H230" s="4" t="s">
        <v>11</v>
      </c>
      <c r="I230" s="5">
        <v>0</v>
      </c>
      <c r="J230" s="4">
        <v>46028.439918981479</v>
      </c>
    </row>
    <row r="231" spans="1:10" x14ac:dyDescent="0.2">
      <c r="A231" s="2" t="s">
        <v>10</v>
      </c>
      <c r="B231" s="3" t="str">
        <f t="shared" si="9"/>
        <v>Email Abilify Maintena 960 mg En pratique_FR-AM2-2400045</v>
      </c>
      <c r="C231" s="3" t="str">
        <f>HYPERLINK("https://otsuka-europe-crm.veevavault.com/ui/#object/sent_email__v/VBL000000012659", "SE-001399288")</f>
        <v>SE-001399288</v>
      </c>
      <c r="D231" s="4">
        <v>46028.481030092589</v>
      </c>
      <c r="E231" s="5">
        <v>1</v>
      </c>
      <c r="F231" s="5">
        <v>2</v>
      </c>
      <c r="G231" s="5">
        <v>0</v>
      </c>
      <c r="H231" s="4" t="s">
        <v>11</v>
      </c>
      <c r="I231" s="5">
        <v>0</v>
      </c>
      <c r="J231" s="4">
        <v>46028.439965277779</v>
      </c>
    </row>
    <row r="232" spans="1:10" x14ac:dyDescent="0.2">
      <c r="A232" s="2" t="s">
        <v>10</v>
      </c>
      <c r="B232" s="3" t="str">
        <f t="shared" si="9"/>
        <v>Email Abilify Maintena 960 mg En pratique_FR-AM2-2400045</v>
      </c>
      <c r="C232" s="3" t="str">
        <f>HYPERLINK("https://otsuka-europe-crm.veevavault.com/ui/#object/sent_email__v/VBL000000012660", "SE-001399289")</f>
        <v>SE-001399289</v>
      </c>
      <c r="D232" s="4">
        <v>46029.456944444442</v>
      </c>
      <c r="E232" s="5">
        <v>1</v>
      </c>
      <c r="F232" s="5">
        <v>1</v>
      </c>
      <c r="G232" s="5">
        <v>0</v>
      </c>
      <c r="H232" s="4" t="s">
        <v>11</v>
      </c>
      <c r="I232" s="5">
        <v>0</v>
      </c>
      <c r="J232" s="4">
        <v>46028.440011574072</v>
      </c>
    </row>
    <row r="233" spans="1:10" x14ac:dyDescent="0.2">
      <c r="A233" s="2" t="s">
        <v>10</v>
      </c>
      <c r="B233" s="3" t="str">
        <f t="shared" si="9"/>
        <v>Email Abilify Maintena 960 mg En pratique_FR-AM2-2400045</v>
      </c>
      <c r="C233" s="3" t="str">
        <f>HYPERLINK("https://otsuka-europe-crm.veevavault.com/ui/#object/sent_email__v/VBL000000012661", "SE-001399290")</f>
        <v>SE-001399290</v>
      </c>
      <c r="D233" s="4" t="s">
        <v>11</v>
      </c>
      <c r="E233" s="5">
        <v>0</v>
      </c>
      <c r="F233" s="5">
        <v>0</v>
      </c>
      <c r="G233" s="5">
        <v>0</v>
      </c>
      <c r="H233" s="4" t="s">
        <v>11</v>
      </c>
      <c r="I233" s="5">
        <v>0</v>
      </c>
      <c r="J233" s="4">
        <v>46028.440046296295</v>
      </c>
    </row>
    <row r="234" spans="1:10" x14ac:dyDescent="0.2">
      <c r="A234" s="2" t="s">
        <v>10</v>
      </c>
      <c r="B234" s="3" t="str">
        <f t="shared" si="9"/>
        <v>Email Abilify Maintena 960 mg En pratique_FR-AM2-2400045</v>
      </c>
      <c r="C234" s="3" t="str">
        <f>HYPERLINK("https://otsuka-europe-crm.veevavault.com/ui/#object/sent_email__v/VBL000000012662", "SE-001399291")</f>
        <v>SE-001399291</v>
      </c>
      <c r="D234" s="4">
        <v>46029.383923611109</v>
      </c>
      <c r="E234" s="5">
        <v>1</v>
      </c>
      <c r="F234" s="5">
        <v>1</v>
      </c>
      <c r="G234" s="5">
        <v>0</v>
      </c>
      <c r="H234" s="4" t="s">
        <v>11</v>
      </c>
      <c r="I234" s="5">
        <v>0</v>
      </c>
      <c r="J234" s="4">
        <v>46028.440092592595</v>
      </c>
    </row>
    <row r="235" spans="1:10" x14ac:dyDescent="0.2">
      <c r="A235" s="2" t="s">
        <v>10</v>
      </c>
      <c r="B235" s="3" t="str">
        <f t="shared" si="9"/>
        <v>Email Abilify Maintena 960 mg En pratique_FR-AM2-2400045</v>
      </c>
      <c r="C235" s="3" t="str">
        <f>HYPERLINK("https://otsuka-europe-crm.veevavault.com/ui/#object/sent_email__v/VBL000000012663", "SE-001399292")</f>
        <v>SE-001399292</v>
      </c>
      <c r="D235" s="4" t="s">
        <v>11</v>
      </c>
      <c r="E235" s="5">
        <v>0</v>
      </c>
      <c r="F235" s="5">
        <v>0</v>
      </c>
      <c r="G235" s="5">
        <v>0</v>
      </c>
      <c r="H235" s="4" t="s">
        <v>11</v>
      </c>
      <c r="I235" s="5">
        <v>0</v>
      </c>
      <c r="J235" s="4">
        <v>46028.440150462964</v>
      </c>
    </row>
    <row r="236" spans="1:10" x14ac:dyDescent="0.2">
      <c r="A236" s="2" t="s">
        <v>10</v>
      </c>
      <c r="B236" s="3" t="str">
        <f t="shared" si="9"/>
        <v>Email Abilify Maintena 960 mg En pratique_FR-AM2-2400045</v>
      </c>
      <c r="C236" s="3" t="str">
        <f>HYPERLINK("https://otsuka-europe-crm.veevavault.com/ui/#object/sent_email__v/VBL000000012664", "SE-001399293")</f>
        <v>SE-001399293</v>
      </c>
      <c r="D236" s="4">
        <v>46028.477870370371</v>
      </c>
      <c r="E236" s="5">
        <v>1</v>
      </c>
      <c r="F236" s="5">
        <v>1</v>
      </c>
      <c r="G236" s="5">
        <v>0</v>
      </c>
      <c r="H236" s="4" t="s">
        <v>11</v>
      </c>
      <c r="I236" s="5">
        <v>0</v>
      </c>
      <c r="J236" s="4">
        <v>46028.44021990741</v>
      </c>
    </row>
    <row r="237" spans="1:10" x14ac:dyDescent="0.2">
      <c r="A237" s="2" t="s">
        <v>10</v>
      </c>
      <c r="B237" s="3" t="str">
        <f t="shared" si="9"/>
        <v>Email Abilify Maintena 960 mg En pratique_FR-AM2-2400045</v>
      </c>
      <c r="C237" s="3" t="str">
        <f>HYPERLINK("https://otsuka-europe-crm.veevavault.com/ui/#object/sent_email__v/VBL000000012665", "SE-001399294")</f>
        <v>SE-001399294</v>
      </c>
      <c r="D237" s="4">
        <v>46028.743854166663</v>
      </c>
      <c r="E237" s="5">
        <v>1</v>
      </c>
      <c r="F237" s="5">
        <v>1</v>
      </c>
      <c r="G237" s="5">
        <v>0</v>
      </c>
      <c r="H237" s="4" t="s">
        <v>11</v>
      </c>
      <c r="I237" s="5">
        <v>0</v>
      </c>
      <c r="J237" s="4">
        <v>46028.440289351849</v>
      </c>
    </row>
    <row r="238" spans="1:10" x14ac:dyDescent="0.2">
      <c r="A238" s="2" t="s">
        <v>10</v>
      </c>
      <c r="B238" s="3" t="str">
        <f t="shared" si="9"/>
        <v>Email Abilify Maintena 960 mg En pratique_FR-AM2-2400045</v>
      </c>
      <c r="C238" s="3" t="str">
        <f>HYPERLINK("https://otsuka-europe-crm.veevavault.com/ui/#object/sent_email__v/VBL000000012666", "SE-001399295")</f>
        <v>SE-001399295</v>
      </c>
      <c r="D238" s="4" t="s">
        <v>11</v>
      </c>
      <c r="E238" s="5">
        <v>0</v>
      </c>
      <c r="F238" s="5">
        <v>0</v>
      </c>
      <c r="G238" s="5">
        <v>0</v>
      </c>
      <c r="H238" s="4" t="s">
        <v>11</v>
      </c>
      <c r="I238" s="5">
        <v>0</v>
      </c>
      <c r="J238" s="4">
        <v>46028.440358796295</v>
      </c>
    </row>
    <row r="239" spans="1:10" x14ac:dyDescent="0.2">
      <c r="A239" s="2" t="s">
        <v>10</v>
      </c>
      <c r="B239" s="3" t="str">
        <f t="shared" si="9"/>
        <v>Email Abilify Maintena 960 mg En pratique_FR-AM2-2400045</v>
      </c>
      <c r="C239" s="3" t="str">
        <f>HYPERLINK("https://otsuka-europe-crm.veevavault.com/ui/#object/sent_email__v/VBL000000012667", "SE-001399296")</f>
        <v>SE-001399296</v>
      </c>
      <c r="D239" s="4" t="s">
        <v>11</v>
      </c>
      <c r="E239" s="5">
        <v>0</v>
      </c>
      <c r="F239" s="5">
        <v>0</v>
      </c>
      <c r="G239" s="5">
        <v>0</v>
      </c>
      <c r="H239" s="4" t="s">
        <v>11</v>
      </c>
      <c r="I239" s="5">
        <v>0</v>
      </c>
      <c r="J239" s="4">
        <v>46028.440416666665</v>
      </c>
    </row>
    <row r="240" spans="1:10" x14ac:dyDescent="0.2">
      <c r="A240" s="2" t="s">
        <v>10</v>
      </c>
      <c r="B240" s="3" t="str">
        <f t="shared" si="9"/>
        <v>Email Abilify Maintena 960 mg En pratique_FR-AM2-2400045</v>
      </c>
      <c r="C240" s="3" t="str">
        <f>HYPERLINK("https://otsuka-europe-crm.veevavault.com/ui/#object/sent_email__v/VBL000000012668", "SE-001399297")</f>
        <v>SE-001399297</v>
      </c>
      <c r="D240" s="4">
        <v>46028.484305555554</v>
      </c>
      <c r="E240" s="5">
        <v>1</v>
      </c>
      <c r="F240" s="5">
        <v>1</v>
      </c>
      <c r="G240" s="5">
        <v>0</v>
      </c>
      <c r="H240" s="4" t="s">
        <v>11</v>
      </c>
      <c r="I240" s="5">
        <v>0</v>
      </c>
      <c r="J240" s="4">
        <v>46028.440486111111</v>
      </c>
    </row>
    <row r="241" spans="1:10" x14ac:dyDescent="0.2">
      <c r="A241" s="2" t="s">
        <v>10</v>
      </c>
      <c r="B241" s="3" t="str">
        <f t="shared" si="9"/>
        <v>Email Abilify Maintena 960 mg En pratique_FR-AM2-2400045</v>
      </c>
      <c r="C241" s="3" t="str">
        <f>HYPERLINK("https://otsuka-europe-crm.veevavault.com/ui/#object/sent_email__v/VBL000000012669", "SE-001399298")</f>
        <v>SE-001399298</v>
      </c>
      <c r="D241" s="4" t="s">
        <v>11</v>
      </c>
      <c r="E241" s="5">
        <v>0</v>
      </c>
      <c r="F241" s="5">
        <v>0</v>
      </c>
      <c r="G241" s="5">
        <v>0</v>
      </c>
      <c r="H241" s="4" t="s">
        <v>11</v>
      </c>
      <c r="I241" s="5">
        <v>0</v>
      </c>
      <c r="J241" s="4">
        <v>46028.44059027778</v>
      </c>
    </row>
    <row r="242" spans="1:10" x14ac:dyDescent="0.2">
      <c r="A242" s="2" t="s">
        <v>10</v>
      </c>
      <c r="B242" s="3" t="str">
        <f t="shared" si="9"/>
        <v>Email Abilify Maintena 960 mg En pratique_FR-AM2-2400045</v>
      </c>
      <c r="C242" s="3" t="str">
        <f>HYPERLINK("https://otsuka-europe-crm.veevavault.com/ui/#object/sent_email__v/VBL000000012670", "SE-001399299")</f>
        <v>SE-001399299</v>
      </c>
      <c r="D242" s="4">
        <v>46028.761921296296</v>
      </c>
      <c r="E242" s="5">
        <v>1</v>
      </c>
      <c r="F242" s="5">
        <v>1</v>
      </c>
      <c r="G242" s="5">
        <v>0</v>
      </c>
      <c r="H242" s="4" t="s">
        <v>11</v>
      </c>
      <c r="I242" s="5">
        <v>0</v>
      </c>
      <c r="J242" s="4">
        <v>46028.440613425926</v>
      </c>
    </row>
    <row r="243" spans="1:10" x14ac:dyDescent="0.2">
      <c r="A243" s="2" t="s">
        <v>10</v>
      </c>
      <c r="B243" s="3" t="str">
        <f t="shared" si="9"/>
        <v>Email Abilify Maintena 960 mg En pratique_FR-AM2-2400045</v>
      </c>
      <c r="C243" s="3" t="str">
        <f>HYPERLINK("https://otsuka-europe-crm.veevavault.com/ui/#object/sent_email__v/VBL000000012671", "SE-001399300")</f>
        <v>SE-001399300</v>
      </c>
      <c r="D243" s="4" t="s">
        <v>11</v>
      </c>
      <c r="E243" s="5">
        <v>0</v>
      </c>
      <c r="F243" s="5">
        <v>0</v>
      </c>
      <c r="G243" s="5">
        <v>0</v>
      </c>
      <c r="H243" s="4" t="s">
        <v>11</v>
      </c>
      <c r="I243" s="5">
        <v>0</v>
      </c>
      <c r="J243" s="4">
        <v>46028.440682870372</v>
      </c>
    </row>
    <row r="244" spans="1:10" x14ac:dyDescent="0.2">
      <c r="A244" s="2" t="s">
        <v>10</v>
      </c>
      <c r="B244" s="3" t="str">
        <f t="shared" si="9"/>
        <v>Email Abilify Maintena 960 mg En pratique_FR-AM2-2400045</v>
      </c>
      <c r="C244" s="3" t="str">
        <f>HYPERLINK("https://otsuka-europe-crm.veevavault.com/ui/#object/sent_email__v/VBL000000012672", "SE-001399301")</f>
        <v>SE-001399301</v>
      </c>
      <c r="D244" s="4">
        <v>46030.041585648149</v>
      </c>
      <c r="E244" s="5">
        <v>1</v>
      </c>
      <c r="F244" s="5">
        <v>3</v>
      </c>
      <c r="G244" s="5">
        <v>0</v>
      </c>
      <c r="H244" s="4" t="s">
        <v>11</v>
      </c>
      <c r="I244" s="5">
        <v>0</v>
      </c>
      <c r="J244" s="4">
        <v>46028.440740740742</v>
      </c>
    </row>
    <row r="245" spans="1:10" x14ac:dyDescent="0.2">
      <c r="A245" s="2" t="s">
        <v>10</v>
      </c>
      <c r="B245" s="3" t="str">
        <f t="shared" si="9"/>
        <v>Email Abilify Maintena 960 mg En pratique_FR-AM2-2400045</v>
      </c>
      <c r="C245" s="3" t="str">
        <f>HYPERLINK("https://otsuka-europe-crm.veevavault.com/ui/#object/sent_email__v/VBL000000012673", "SE-001399302")</f>
        <v>SE-001399302</v>
      </c>
      <c r="D245" s="4" t="s">
        <v>11</v>
      </c>
      <c r="E245" s="5">
        <v>0</v>
      </c>
      <c r="F245" s="5">
        <v>0</v>
      </c>
      <c r="G245" s="5">
        <v>0</v>
      </c>
      <c r="H245" s="4" t="s">
        <v>11</v>
      </c>
      <c r="I245" s="5">
        <v>0</v>
      </c>
      <c r="J245" s="4">
        <v>46028.440821759257</v>
      </c>
    </row>
    <row r="246" spans="1:10" x14ac:dyDescent="0.2">
      <c r="A246" s="2" t="s">
        <v>10</v>
      </c>
      <c r="B246" s="3" t="str">
        <f t="shared" si="9"/>
        <v>Email Abilify Maintena 960 mg En pratique_FR-AM2-2400045</v>
      </c>
      <c r="C246" s="3" t="str">
        <f>HYPERLINK("https://otsuka-europe-crm.veevavault.com/ui/#object/sent_email__v/VBL000000012674", "SE-001399303")</f>
        <v>SE-001399303</v>
      </c>
      <c r="D246" s="4" t="s">
        <v>11</v>
      </c>
      <c r="E246" s="5">
        <v>0</v>
      </c>
      <c r="F246" s="5">
        <v>0</v>
      </c>
      <c r="G246" s="5">
        <v>0</v>
      </c>
      <c r="H246" s="4" t="s">
        <v>11</v>
      </c>
      <c r="I246" s="5">
        <v>0</v>
      </c>
      <c r="J246" s="4">
        <v>46028.440879629627</v>
      </c>
    </row>
    <row r="247" spans="1:10" x14ac:dyDescent="0.2">
      <c r="A247" s="2" t="s">
        <v>10</v>
      </c>
      <c r="B247" s="3" t="str">
        <f t="shared" ref="B247:B310" si="10">HYPERLINK("https://otsuka-europe-crm.veevavault.com/ui/#object/approved_document__v/V5OZ025E82N35U9", "Email Abilify Maintena 960 mg En pratique_FR-AM2-2400045")</f>
        <v>Email Abilify Maintena 960 mg En pratique_FR-AM2-2400045</v>
      </c>
      <c r="C247" s="3" t="str">
        <f>HYPERLINK("https://otsuka-europe-crm.veevavault.com/ui/#object/sent_email__v/VBL000000012675", "SE-001399304")</f>
        <v>SE-001399304</v>
      </c>
      <c r="D247" s="4" t="s">
        <v>11</v>
      </c>
      <c r="E247" s="5">
        <v>0</v>
      </c>
      <c r="F247" s="5">
        <v>0</v>
      </c>
      <c r="G247" s="5">
        <v>0</v>
      </c>
      <c r="H247" s="4" t="s">
        <v>11</v>
      </c>
      <c r="I247" s="5">
        <v>0</v>
      </c>
      <c r="J247" s="4">
        <v>46028.440937500003</v>
      </c>
    </row>
    <row r="248" spans="1:10" x14ac:dyDescent="0.2">
      <c r="A248" s="2" t="s">
        <v>10</v>
      </c>
      <c r="B248" s="3" t="str">
        <f t="shared" si="10"/>
        <v>Email Abilify Maintena 960 mg En pratique_FR-AM2-2400045</v>
      </c>
      <c r="C248" s="3" t="str">
        <f>HYPERLINK("https://otsuka-europe-crm.veevavault.com/ui/#object/sent_email__v/VBL000000012676", "SE-001399305")</f>
        <v>SE-001399305</v>
      </c>
      <c r="D248" s="4" t="s">
        <v>11</v>
      </c>
      <c r="E248" s="5">
        <v>0</v>
      </c>
      <c r="F248" s="5">
        <v>0</v>
      </c>
      <c r="G248" s="5">
        <v>0</v>
      </c>
      <c r="H248" s="4" t="s">
        <v>11</v>
      </c>
      <c r="I248" s="5">
        <v>0</v>
      </c>
      <c r="J248" s="4">
        <v>46028.440983796296</v>
      </c>
    </row>
    <row r="249" spans="1:10" x14ac:dyDescent="0.2">
      <c r="A249" s="2" t="s">
        <v>10</v>
      </c>
      <c r="B249" s="3" t="str">
        <f t="shared" si="10"/>
        <v>Email Abilify Maintena 960 mg En pratique_FR-AM2-2400045</v>
      </c>
      <c r="C249" s="3" t="str">
        <f>HYPERLINK("https://otsuka-europe-crm.veevavault.com/ui/#object/sent_email__v/VBL000000012677", "SE-001399306")</f>
        <v>SE-001399306</v>
      </c>
      <c r="D249" s="4" t="s">
        <v>11</v>
      </c>
      <c r="E249" s="5">
        <v>0</v>
      </c>
      <c r="F249" s="5">
        <v>0</v>
      </c>
      <c r="G249" s="5">
        <v>0</v>
      </c>
      <c r="H249" s="4" t="s">
        <v>11</v>
      </c>
      <c r="I249" s="5">
        <v>0</v>
      </c>
      <c r="J249" s="4">
        <v>46028.441018518519</v>
      </c>
    </row>
    <row r="250" spans="1:10" x14ac:dyDescent="0.2">
      <c r="A250" s="2" t="s">
        <v>10</v>
      </c>
      <c r="B250" s="3" t="str">
        <f t="shared" si="10"/>
        <v>Email Abilify Maintena 960 mg En pratique_FR-AM2-2400045</v>
      </c>
      <c r="C250" s="3" t="str">
        <f>HYPERLINK("https://otsuka-europe-crm.veevavault.com/ui/#object/sent_email__v/VBL000000012678", "SE-001399307")</f>
        <v>SE-001399307</v>
      </c>
      <c r="D250" s="4" t="s">
        <v>11</v>
      </c>
      <c r="E250" s="5">
        <v>0</v>
      </c>
      <c r="F250" s="5">
        <v>0</v>
      </c>
      <c r="G250" s="5">
        <v>0</v>
      </c>
      <c r="H250" s="4" t="s">
        <v>11</v>
      </c>
      <c r="I250" s="5">
        <v>0</v>
      </c>
      <c r="J250" s="4">
        <v>46028.441064814811</v>
      </c>
    </row>
    <row r="251" spans="1:10" x14ac:dyDescent="0.2">
      <c r="A251" s="2" t="s">
        <v>10</v>
      </c>
      <c r="B251" s="3" t="str">
        <f t="shared" si="10"/>
        <v>Email Abilify Maintena 960 mg En pratique_FR-AM2-2400045</v>
      </c>
      <c r="C251" s="3" t="str">
        <f>HYPERLINK("https://otsuka-europe-crm.veevavault.com/ui/#object/sent_email__v/VBL000000012679", "SE-001399308")</f>
        <v>SE-001399308</v>
      </c>
      <c r="D251" s="4" t="s">
        <v>11</v>
      </c>
      <c r="E251" s="5">
        <v>0</v>
      </c>
      <c r="F251" s="5">
        <v>0</v>
      </c>
      <c r="G251" s="5">
        <v>0</v>
      </c>
      <c r="H251" s="4" t="s">
        <v>11</v>
      </c>
      <c r="I251" s="5">
        <v>0</v>
      </c>
      <c r="J251" s="4">
        <v>46028.441099537034</v>
      </c>
    </row>
    <row r="252" spans="1:10" x14ac:dyDescent="0.2">
      <c r="A252" s="2" t="s">
        <v>10</v>
      </c>
      <c r="B252" s="3" t="str">
        <f t="shared" si="10"/>
        <v>Email Abilify Maintena 960 mg En pratique_FR-AM2-2400045</v>
      </c>
      <c r="C252" s="3" t="str">
        <f>HYPERLINK("https://otsuka-europe-crm.veevavault.com/ui/#object/sent_email__v/VBL000000012680", "SE-001399309")</f>
        <v>SE-001399309</v>
      </c>
      <c r="D252" s="4" t="s">
        <v>11</v>
      </c>
      <c r="E252" s="5">
        <v>0</v>
      </c>
      <c r="F252" s="5">
        <v>0</v>
      </c>
      <c r="G252" s="5">
        <v>0</v>
      </c>
      <c r="H252" s="4" t="s">
        <v>11</v>
      </c>
      <c r="I252" s="5">
        <v>0</v>
      </c>
      <c r="J252" s="4">
        <v>46028.441122685188</v>
      </c>
    </row>
    <row r="253" spans="1:10" x14ac:dyDescent="0.2">
      <c r="A253" s="2" t="s">
        <v>10</v>
      </c>
      <c r="B253" s="3" t="str">
        <f t="shared" si="10"/>
        <v>Email Abilify Maintena 960 mg En pratique_FR-AM2-2400045</v>
      </c>
      <c r="C253" s="3" t="str">
        <f>HYPERLINK("https://otsuka-europe-crm.veevavault.com/ui/#object/sent_email__v/VBL000000012681", "SE-001399310")</f>
        <v>SE-001399310</v>
      </c>
      <c r="D253" s="4" t="s">
        <v>11</v>
      </c>
      <c r="E253" s="5">
        <v>0</v>
      </c>
      <c r="F253" s="5">
        <v>0</v>
      </c>
      <c r="G253" s="5">
        <v>0</v>
      </c>
      <c r="H253" s="4" t="s">
        <v>11</v>
      </c>
      <c r="I253" s="5">
        <v>0</v>
      </c>
      <c r="J253" s="4">
        <v>46028.441157407404</v>
      </c>
    </row>
    <row r="254" spans="1:10" x14ac:dyDescent="0.2">
      <c r="A254" s="2" t="s">
        <v>10</v>
      </c>
      <c r="B254" s="3" t="str">
        <f t="shared" si="10"/>
        <v>Email Abilify Maintena 960 mg En pratique_FR-AM2-2400045</v>
      </c>
      <c r="C254" s="3" t="str">
        <f>HYPERLINK("https://otsuka-europe-crm.veevavault.com/ui/#object/sent_email__v/VBL000000012682", "SE-001399311")</f>
        <v>SE-001399311</v>
      </c>
      <c r="D254" s="4" t="s">
        <v>11</v>
      </c>
      <c r="E254" s="5">
        <v>0</v>
      </c>
      <c r="F254" s="5">
        <v>0</v>
      </c>
      <c r="G254" s="5">
        <v>0</v>
      </c>
      <c r="H254" s="4" t="s">
        <v>11</v>
      </c>
      <c r="I254" s="5">
        <v>0</v>
      </c>
      <c r="J254" s="4">
        <v>46028.441192129627</v>
      </c>
    </row>
    <row r="255" spans="1:10" x14ac:dyDescent="0.2">
      <c r="A255" s="2" t="s">
        <v>10</v>
      </c>
      <c r="B255" s="3" t="str">
        <f t="shared" si="10"/>
        <v>Email Abilify Maintena 960 mg En pratique_FR-AM2-2400045</v>
      </c>
      <c r="C255" s="3" t="str">
        <f>HYPERLINK("https://otsuka-europe-crm.veevavault.com/ui/#object/sent_email__v/VBL000000012683", "SE-001399312")</f>
        <v>SE-001399312</v>
      </c>
      <c r="D255" s="4" t="s">
        <v>11</v>
      </c>
      <c r="E255" s="5">
        <v>0</v>
      </c>
      <c r="F255" s="5">
        <v>0</v>
      </c>
      <c r="G255" s="5">
        <v>0</v>
      </c>
      <c r="H255" s="4" t="s">
        <v>11</v>
      </c>
      <c r="I255" s="5">
        <v>0</v>
      </c>
      <c r="J255" s="4">
        <v>46028.441238425927</v>
      </c>
    </row>
    <row r="256" spans="1:10" x14ac:dyDescent="0.2">
      <c r="A256" s="2" t="s">
        <v>10</v>
      </c>
      <c r="B256" s="3" t="str">
        <f t="shared" si="10"/>
        <v>Email Abilify Maintena 960 mg En pratique_FR-AM2-2400045</v>
      </c>
      <c r="C256" s="3" t="str">
        <f>HYPERLINK("https://otsuka-europe-crm.veevavault.com/ui/#object/sent_email__v/VBL000000012684", "SE-001399313")</f>
        <v>SE-001399313</v>
      </c>
      <c r="D256" s="4">
        <v>46060.376388888886</v>
      </c>
      <c r="E256" s="5">
        <v>1</v>
      </c>
      <c r="F256" s="5">
        <v>4</v>
      </c>
      <c r="G256" s="5">
        <v>0</v>
      </c>
      <c r="H256" s="4" t="s">
        <v>11</v>
      </c>
      <c r="I256" s="5">
        <v>0</v>
      </c>
      <c r="J256" s="4">
        <v>46028.44127314815</v>
      </c>
    </row>
    <row r="257" spans="1:10" x14ac:dyDescent="0.2">
      <c r="A257" s="2" t="s">
        <v>10</v>
      </c>
      <c r="B257" s="3" t="str">
        <f t="shared" si="10"/>
        <v>Email Abilify Maintena 960 mg En pratique_FR-AM2-2400045</v>
      </c>
      <c r="C257" s="3" t="str">
        <f>HYPERLINK("https://otsuka-europe-crm.veevavault.com/ui/#object/sent_email__v/VBL000000012685", "SE-001399314")</f>
        <v>SE-001399314</v>
      </c>
      <c r="D257" s="4" t="s">
        <v>11</v>
      </c>
      <c r="E257" s="5">
        <v>0</v>
      </c>
      <c r="F257" s="5">
        <v>0</v>
      </c>
      <c r="G257" s="5">
        <v>0</v>
      </c>
      <c r="H257" s="4" t="s">
        <v>11</v>
      </c>
      <c r="I257" s="5">
        <v>0</v>
      </c>
      <c r="J257" s="4">
        <v>46028.441296296296</v>
      </c>
    </row>
    <row r="258" spans="1:10" x14ac:dyDescent="0.2">
      <c r="A258" s="2" t="s">
        <v>10</v>
      </c>
      <c r="B258" s="3" t="str">
        <f t="shared" si="10"/>
        <v>Email Abilify Maintena 960 mg En pratique_FR-AM2-2400045</v>
      </c>
      <c r="C258" s="3" t="str">
        <f>HYPERLINK("https://otsuka-europe-crm.veevavault.com/ui/#object/sent_email__v/VBL000000012686", "SE-001399315")</f>
        <v>SE-001399315</v>
      </c>
      <c r="D258" s="4" t="s">
        <v>11</v>
      </c>
      <c r="E258" s="5">
        <v>0</v>
      </c>
      <c r="F258" s="5">
        <v>0</v>
      </c>
      <c r="G258" s="5">
        <v>0</v>
      </c>
      <c r="H258" s="4" t="s">
        <v>11</v>
      </c>
      <c r="I258" s="5">
        <v>0</v>
      </c>
      <c r="J258" s="4">
        <v>46028.441342592596</v>
      </c>
    </row>
    <row r="259" spans="1:10" x14ac:dyDescent="0.2">
      <c r="A259" s="2" t="s">
        <v>10</v>
      </c>
      <c r="B259" s="3" t="str">
        <f t="shared" si="10"/>
        <v>Email Abilify Maintena 960 mg En pratique_FR-AM2-2400045</v>
      </c>
      <c r="C259" s="3" t="str">
        <f>HYPERLINK("https://otsuka-europe-crm.veevavault.com/ui/#object/sent_email__v/VBL000000012687", "SE-001399316")</f>
        <v>SE-001399316</v>
      </c>
      <c r="D259" s="4">
        <v>46028.540451388886</v>
      </c>
      <c r="E259" s="5">
        <v>1</v>
      </c>
      <c r="F259" s="5">
        <v>2</v>
      </c>
      <c r="G259" s="5">
        <v>0</v>
      </c>
      <c r="H259" s="4" t="s">
        <v>11</v>
      </c>
      <c r="I259" s="5">
        <v>0</v>
      </c>
      <c r="J259" s="4">
        <v>46028.441377314812</v>
      </c>
    </row>
    <row r="260" spans="1:10" x14ac:dyDescent="0.2">
      <c r="A260" s="2" t="s">
        <v>10</v>
      </c>
      <c r="B260" s="3" t="str">
        <f t="shared" si="10"/>
        <v>Email Abilify Maintena 960 mg En pratique_FR-AM2-2400045</v>
      </c>
      <c r="C260" s="3" t="str">
        <f>HYPERLINK("https://otsuka-europe-crm.veevavault.com/ui/#object/sent_email__v/VBL000000012688", "SE-001399317")</f>
        <v>SE-001399317</v>
      </c>
      <c r="D260" s="4" t="s">
        <v>11</v>
      </c>
      <c r="E260" s="5">
        <v>0</v>
      </c>
      <c r="F260" s="5">
        <v>0</v>
      </c>
      <c r="G260" s="5">
        <v>0</v>
      </c>
      <c r="H260" s="4" t="s">
        <v>11</v>
      </c>
      <c r="I260" s="5">
        <v>0</v>
      </c>
      <c r="J260" s="4">
        <v>46028.441412037035</v>
      </c>
    </row>
    <row r="261" spans="1:10" x14ac:dyDescent="0.2">
      <c r="A261" s="2" t="s">
        <v>10</v>
      </c>
      <c r="B261" s="3" t="str">
        <f t="shared" si="10"/>
        <v>Email Abilify Maintena 960 mg En pratique_FR-AM2-2400045</v>
      </c>
      <c r="C261" s="3" t="str">
        <f>HYPERLINK("https://otsuka-europe-crm.veevavault.com/ui/#object/sent_email__v/VBL000000012689", "SE-001399318")</f>
        <v>SE-001399318</v>
      </c>
      <c r="D261" s="4" t="s">
        <v>11</v>
      </c>
      <c r="E261" s="5">
        <v>0</v>
      </c>
      <c r="F261" s="5">
        <v>0</v>
      </c>
      <c r="G261" s="5">
        <v>0</v>
      </c>
      <c r="H261" s="4" t="s">
        <v>11</v>
      </c>
      <c r="I261" s="5">
        <v>0</v>
      </c>
      <c r="J261" s="4">
        <v>46028.441446759258</v>
      </c>
    </row>
    <row r="262" spans="1:10" x14ac:dyDescent="0.2">
      <c r="A262" s="2" t="s">
        <v>10</v>
      </c>
      <c r="B262" s="3" t="str">
        <f t="shared" si="10"/>
        <v>Email Abilify Maintena 960 mg En pratique_FR-AM2-2400045</v>
      </c>
      <c r="C262" s="3" t="str">
        <f>HYPERLINK("https://otsuka-europe-crm.veevavault.com/ui/#object/sent_email__v/VBL000000012690", "SE-001399319")</f>
        <v>SE-001399319</v>
      </c>
      <c r="D262" s="4" t="s">
        <v>11</v>
      </c>
      <c r="E262" s="5">
        <v>0</v>
      </c>
      <c r="F262" s="5">
        <v>0</v>
      </c>
      <c r="G262" s="5">
        <v>0</v>
      </c>
      <c r="H262" s="4" t="s">
        <v>11</v>
      </c>
      <c r="I262" s="5">
        <v>0</v>
      </c>
      <c r="J262" s="4">
        <v>46028.441481481481</v>
      </c>
    </row>
    <row r="263" spans="1:10" x14ac:dyDescent="0.2">
      <c r="A263" s="2" t="s">
        <v>10</v>
      </c>
      <c r="B263" s="3" t="str">
        <f t="shared" si="10"/>
        <v>Email Abilify Maintena 960 mg En pratique_FR-AM2-2400045</v>
      </c>
      <c r="C263" s="3" t="str">
        <f>HYPERLINK("https://otsuka-europe-crm.veevavault.com/ui/#object/sent_email__v/VBL000000012691", "SE-001399320")</f>
        <v>SE-001399320</v>
      </c>
      <c r="D263" s="4" t="s">
        <v>11</v>
      </c>
      <c r="E263" s="5">
        <v>0</v>
      </c>
      <c r="F263" s="5">
        <v>0</v>
      </c>
      <c r="G263" s="5">
        <v>0</v>
      </c>
      <c r="H263" s="4" t="s">
        <v>11</v>
      </c>
      <c r="I263" s="5">
        <v>0</v>
      </c>
      <c r="J263" s="4">
        <v>46028.441516203704</v>
      </c>
    </row>
    <row r="264" spans="1:10" x14ac:dyDescent="0.2">
      <c r="A264" s="2" t="s">
        <v>10</v>
      </c>
      <c r="B264" s="3" t="str">
        <f t="shared" si="10"/>
        <v>Email Abilify Maintena 960 mg En pratique_FR-AM2-2400045</v>
      </c>
      <c r="C264" s="3" t="str">
        <f>HYPERLINK("https://otsuka-europe-crm.veevavault.com/ui/#object/sent_email__v/VBL000000012692", "SE-001399321")</f>
        <v>SE-001399321</v>
      </c>
      <c r="D264" s="4" t="s">
        <v>11</v>
      </c>
      <c r="E264" s="5">
        <v>0</v>
      </c>
      <c r="F264" s="5">
        <v>0</v>
      </c>
      <c r="G264" s="5">
        <v>0</v>
      </c>
      <c r="H264" s="4" t="s">
        <v>11</v>
      </c>
      <c r="I264" s="5">
        <v>0</v>
      </c>
      <c r="J264" s="4">
        <v>46028.441550925927</v>
      </c>
    </row>
    <row r="265" spans="1:10" x14ac:dyDescent="0.2">
      <c r="A265" s="2" t="s">
        <v>10</v>
      </c>
      <c r="B265" s="3" t="str">
        <f t="shared" si="10"/>
        <v>Email Abilify Maintena 960 mg En pratique_FR-AM2-2400045</v>
      </c>
      <c r="C265" s="3" t="str">
        <f>HYPERLINK("https://otsuka-europe-crm.veevavault.com/ui/#object/sent_email__v/VBL000000012693", "SE-001399322")</f>
        <v>SE-001399322</v>
      </c>
      <c r="D265" s="4" t="s">
        <v>11</v>
      </c>
      <c r="E265" s="5">
        <v>0</v>
      </c>
      <c r="F265" s="5">
        <v>0</v>
      </c>
      <c r="G265" s="5">
        <v>0</v>
      </c>
      <c r="H265" s="4" t="s">
        <v>11</v>
      </c>
      <c r="I265" s="5">
        <v>0</v>
      </c>
      <c r="J265" s="4">
        <v>46028.44159722222</v>
      </c>
    </row>
    <row r="266" spans="1:10" x14ac:dyDescent="0.2">
      <c r="A266" s="2" t="s">
        <v>10</v>
      </c>
      <c r="B266" s="3" t="str">
        <f t="shared" si="10"/>
        <v>Email Abilify Maintena 960 mg En pratique_FR-AM2-2400045</v>
      </c>
      <c r="C266" s="3" t="str">
        <f>HYPERLINK("https://otsuka-europe-crm.veevavault.com/ui/#object/sent_email__v/VBL000000012694", "SE-001399323")</f>
        <v>SE-001399323</v>
      </c>
      <c r="D266" s="4" t="s">
        <v>11</v>
      </c>
      <c r="E266" s="5">
        <v>0</v>
      </c>
      <c r="F266" s="5">
        <v>0</v>
      </c>
      <c r="G266" s="5">
        <v>0</v>
      </c>
      <c r="H266" s="4" t="s">
        <v>11</v>
      </c>
      <c r="I266" s="5">
        <v>0</v>
      </c>
      <c r="J266" s="4">
        <v>46028.441620370373</v>
      </c>
    </row>
    <row r="267" spans="1:10" x14ac:dyDescent="0.2">
      <c r="A267" s="2" t="s">
        <v>10</v>
      </c>
      <c r="B267" s="3" t="str">
        <f t="shared" si="10"/>
        <v>Email Abilify Maintena 960 mg En pratique_FR-AM2-2400045</v>
      </c>
      <c r="C267" s="3" t="str">
        <f>HYPERLINK("https://otsuka-europe-crm.veevavault.com/ui/#object/sent_email__v/VBL000000012695", "SE-001399324")</f>
        <v>SE-001399324</v>
      </c>
      <c r="D267" s="4">
        <v>46028.502835648149</v>
      </c>
      <c r="E267" s="5">
        <v>1</v>
      </c>
      <c r="F267" s="5">
        <v>1</v>
      </c>
      <c r="G267" s="5">
        <v>0</v>
      </c>
      <c r="H267" s="4" t="s">
        <v>11</v>
      </c>
      <c r="I267" s="5">
        <v>0</v>
      </c>
      <c r="J267" s="4">
        <v>46028.441666666666</v>
      </c>
    </row>
    <row r="268" spans="1:10" x14ac:dyDescent="0.2">
      <c r="A268" s="2" t="s">
        <v>10</v>
      </c>
      <c r="B268" s="3" t="str">
        <f t="shared" si="10"/>
        <v>Email Abilify Maintena 960 mg En pratique_FR-AM2-2400045</v>
      </c>
      <c r="C268" s="3" t="str">
        <f>HYPERLINK("https://otsuka-europe-crm.veevavault.com/ui/#object/sent_email__v/VBL000000012696", "SE-001399325")</f>
        <v>SE-001399325</v>
      </c>
      <c r="D268" s="4" t="s">
        <v>11</v>
      </c>
      <c r="E268" s="5">
        <v>0</v>
      </c>
      <c r="F268" s="5">
        <v>0</v>
      </c>
      <c r="G268" s="5">
        <v>0</v>
      </c>
      <c r="H268" s="4" t="s">
        <v>11</v>
      </c>
      <c r="I268" s="5">
        <v>0</v>
      </c>
      <c r="J268" s="4">
        <v>46028.441701388889</v>
      </c>
    </row>
    <row r="269" spans="1:10" x14ac:dyDescent="0.2">
      <c r="A269" s="2" t="s">
        <v>10</v>
      </c>
      <c r="B269" s="3" t="str">
        <f t="shared" si="10"/>
        <v>Email Abilify Maintena 960 mg En pratique_FR-AM2-2400045</v>
      </c>
      <c r="C269" s="3" t="str">
        <f>HYPERLINK("https://otsuka-europe-crm.veevavault.com/ui/#object/sent_email__v/VBL000000012697", "SE-001399326")</f>
        <v>SE-001399326</v>
      </c>
      <c r="D269" s="4" t="s">
        <v>11</v>
      </c>
      <c r="E269" s="5">
        <v>0</v>
      </c>
      <c r="F269" s="5">
        <v>0</v>
      </c>
      <c r="G269" s="5">
        <v>0</v>
      </c>
      <c r="H269" s="4" t="s">
        <v>11</v>
      </c>
      <c r="I269" s="5">
        <v>0</v>
      </c>
      <c r="J269" s="4">
        <v>46028.441736111112</v>
      </c>
    </row>
    <row r="270" spans="1:10" x14ac:dyDescent="0.2">
      <c r="A270" s="2" t="s">
        <v>10</v>
      </c>
      <c r="B270" s="3" t="str">
        <f t="shared" si="10"/>
        <v>Email Abilify Maintena 960 mg En pratique_FR-AM2-2400045</v>
      </c>
      <c r="C270" s="3" t="str">
        <f>HYPERLINK("https://otsuka-europe-crm.veevavault.com/ui/#object/sent_email__v/VBL000000012698", "SE-001399327")</f>
        <v>SE-001399327</v>
      </c>
      <c r="D270" s="4" t="s">
        <v>11</v>
      </c>
      <c r="E270" s="5">
        <v>0</v>
      </c>
      <c r="F270" s="5">
        <v>0</v>
      </c>
      <c r="G270" s="5">
        <v>0</v>
      </c>
      <c r="H270" s="4" t="s">
        <v>11</v>
      </c>
      <c r="I270" s="5">
        <v>0</v>
      </c>
      <c r="J270" s="4">
        <v>46028.441770833335</v>
      </c>
    </row>
    <row r="271" spans="1:10" x14ac:dyDescent="0.2">
      <c r="A271" s="2" t="s">
        <v>10</v>
      </c>
      <c r="B271" s="3" t="str">
        <f t="shared" si="10"/>
        <v>Email Abilify Maintena 960 mg En pratique_FR-AM2-2400045</v>
      </c>
      <c r="C271" s="3" t="str">
        <f>HYPERLINK("https://otsuka-europe-crm.veevavault.com/ui/#object/sent_email__v/VBL000000012699", "SE-001399328")</f>
        <v>SE-001399328</v>
      </c>
      <c r="D271" s="4" t="s">
        <v>11</v>
      </c>
      <c r="E271" s="5">
        <v>0</v>
      </c>
      <c r="F271" s="5">
        <v>0</v>
      </c>
      <c r="G271" s="5">
        <v>0</v>
      </c>
      <c r="H271" s="4" t="s">
        <v>11</v>
      </c>
      <c r="I271" s="5">
        <v>0</v>
      </c>
      <c r="J271" s="4">
        <v>46028.441817129627</v>
      </c>
    </row>
    <row r="272" spans="1:10" x14ac:dyDescent="0.2">
      <c r="A272" s="2" t="s">
        <v>10</v>
      </c>
      <c r="B272" s="3" t="str">
        <f t="shared" si="10"/>
        <v>Email Abilify Maintena 960 mg En pratique_FR-AM2-2400045</v>
      </c>
      <c r="C272" s="3" t="str">
        <f>HYPERLINK("https://otsuka-europe-crm.veevavault.com/ui/#object/sent_email__v/VBL000000012700", "SE-001399329")</f>
        <v>SE-001399329</v>
      </c>
      <c r="D272" s="4">
        <v>46028.870300925926</v>
      </c>
      <c r="E272" s="5">
        <v>1</v>
      </c>
      <c r="F272" s="5">
        <v>2</v>
      </c>
      <c r="G272" s="5">
        <v>0</v>
      </c>
      <c r="H272" s="4" t="s">
        <v>11</v>
      </c>
      <c r="I272" s="5">
        <v>0</v>
      </c>
      <c r="J272" s="4">
        <v>46028.441851851851</v>
      </c>
    </row>
    <row r="273" spans="1:10" x14ac:dyDescent="0.2">
      <c r="A273" s="2" t="s">
        <v>10</v>
      </c>
      <c r="B273" s="3" t="str">
        <f t="shared" si="10"/>
        <v>Email Abilify Maintena 960 mg En pratique_FR-AM2-2400045</v>
      </c>
      <c r="C273" s="3" t="str">
        <f>HYPERLINK("https://otsuka-europe-crm.veevavault.com/ui/#object/sent_email__v/VBL000000012701", "SE-001399330")</f>
        <v>SE-001399330</v>
      </c>
      <c r="D273" s="4" t="s">
        <v>11</v>
      </c>
      <c r="E273" s="5">
        <v>0</v>
      </c>
      <c r="F273" s="5">
        <v>0</v>
      </c>
      <c r="G273" s="5">
        <v>0</v>
      </c>
      <c r="H273" s="4" t="s">
        <v>11</v>
      </c>
      <c r="I273" s="5">
        <v>0</v>
      </c>
      <c r="J273" s="4">
        <v>46028.441886574074</v>
      </c>
    </row>
    <row r="274" spans="1:10" x14ac:dyDescent="0.2">
      <c r="A274" s="2" t="s">
        <v>10</v>
      </c>
      <c r="B274" s="3" t="str">
        <f t="shared" si="10"/>
        <v>Email Abilify Maintena 960 mg En pratique_FR-AM2-2400045</v>
      </c>
      <c r="C274" s="3" t="str">
        <f>HYPERLINK("https://otsuka-europe-crm.veevavault.com/ui/#object/sent_email__v/VBL000000012702", "SE-001399331")</f>
        <v>SE-001399331</v>
      </c>
      <c r="D274" s="4" t="s">
        <v>11</v>
      </c>
      <c r="E274" s="5">
        <v>0</v>
      </c>
      <c r="F274" s="5">
        <v>0</v>
      </c>
      <c r="G274" s="5">
        <v>0</v>
      </c>
      <c r="H274" s="4" t="s">
        <v>11</v>
      </c>
      <c r="I274" s="5">
        <v>0</v>
      </c>
      <c r="J274" s="4">
        <v>46028.441921296297</v>
      </c>
    </row>
    <row r="275" spans="1:10" x14ac:dyDescent="0.2">
      <c r="A275" s="2" t="s">
        <v>10</v>
      </c>
      <c r="B275" s="3" t="str">
        <f t="shared" si="10"/>
        <v>Email Abilify Maintena 960 mg En pratique_FR-AM2-2400045</v>
      </c>
      <c r="C275" s="3" t="str">
        <f>HYPERLINK("https://otsuka-europe-crm.veevavault.com/ui/#object/sent_email__v/VBL000000012703", "SE-001399332")</f>
        <v>SE-001399332</v>
      </c>
      <c r="D275" s="4" t="s">
        <v>11</v>
      </c>
      <c r="E275" s="5">
        <v>0</v>
      </c>
      <c r="F275" s="5">
        <v>0</v>
      </c>
      <c r="G275" s="5">
        <v>0</v>
      </c>
      <c r="H275" s="4" t="s">
        <v>11</v>
      </c>
      <c r="I275" s="5">
        <v>0</v>
      </c>
      <c r="J275" s="4">
        <v>46028.44195601852</v>
      </c>
    </row>
    <row r="276" spans="1:10" x14ac:dyDescent="0.2">
      <c r="A276" s="2" t="s">
        <v>10</v>
      </c>
      <c r="B276" s="3" t="str">
        <f t="shared" si="10"/>
        <v>Email Abilify Maintena 960 mg En pratique_FR-AM2-2400045</v>
      </c>
      <c r="C276" s="3" t="str">
        <f>HYPERLINK("https://otsuka-europe-crm.veevavault.com/ui/#object/sent_email__v/VBL000000012704", "SE-001399333")</f>
        <v>SE-001399333</v>
      </c>
      <c r="D276" s="4" t="s">
        <v>11</v>
      </c>
      <c r="E276" s="5">
        <v>0</v>
      </c>
      <c r="F276" s="5">
        <v>0</v>
      </c>
      <c r="G276" s="5">
        <v>0</v>
      </c>
      <c r="H276" s="4" t="s">
        <v>11</v>
      </c>
      <c r="I276" s="5">
        <v>0</v>
      </c>
      <c r="J276" s="4">
        <v>46028.441990740743</v>
      </c>
    </row>
    <row r="277" spans="1:10" x14ac:dyDescent="0.2">
      <c r="A277" s="2" t="s">
        <v>10</v>
      </c>
      <c r="B277" s="3" t="str">
        <f t="shared" si="10"/>
        <v>Email Abilify Maintena 960 mg En pratique_FR-AM2-2400045</v>
      </c>
      <c r="C277" s="3" t="str">
        <f>HYPERLINK("https://otsuka-europe-crm.veevavault.com/ui/#object/sent_email__v/VBL000000012705", "SE-001399334")</f>
        <v>SE-001399334</v>
      </c>
      <c r="D277" s="4" t="s">
        <v>11</v>
      </c>
      <c r="E277" s="5">
        <v>0</v>
      </c>
      <c r="F277" s="5">
        <v>0</v>
      </c>
      <c r="G277" s="5">
        <v>0</v>
      </c>
      <c r="H277" s="4" t="s">
        <v>11</v>
      </c>
      <c r="I277" s="5">
        <v>0</v>
      </c>
      <c r="J277" s="4">
        <v>46028.442025462966</v>
      </c>
    </row>
    <row r="278" spans="1:10" x14ac:dyDescent="0.2">
      <c r="A278" s="2" t="s">
        <v>10</v>
      </c>
      <c r="B278" s="3" t="str">
        <f t="shared" si="10"/>
        <v>Email Abilify Maintena 960 mg En pratique_FR-AM2-2400045</v>
      </c>
      <c r="C278" s="3" t="str">
        <f>HYPERLINK("https://otsuka-europe-crm.veevavault.com/ui/#object/sent_email__v/VBL000000012706", "SE-001399335")</f>
        <v>SE-001399335</v>
      </c>
      <c r="D278" s="4" t="s">
        <v>11</v>
      </c>
      <c r="E278" s="5">
        <v>0</v>
      </c>
      <c r="F278" s="5">
        <v>0</v>
      </c>
      <c r="G278" s="5">
        <v>0</v>
      </c>
      <c r="H278" s="4" t="s">
        <v>11</v>
      </c>
      <c r="I278" s="5">
        <v>0</v>
      </c>
      <c r="J278" s="4">
        <v>46028.442060185182</v>
      </c>
    </row>
    <row r="279" spans="1:10" x14ac:dyDescent="0.2">
      <c r="A279" s="2" t="s">
        <v>10</v>
      </c>
      <c r="B279" s="3" t="str">
        <f t="shared" si="10"/>
        <v>Email Abilify Maintena 960 mg En pratique_FR-AM2-2400045</v>
      </c>
      <c r="C279" s="3" t="str">
        <f>HYPERLINK("https://otsuka-europe-crm.veevavault.com/ui/#object/sent_email__v/VBL000000012707", "SE-001399336")</f>
        <v>SE-001399336</v>
      </c>
      <c r="D279" s="4" t="s">
        <v>11</v>
      </c>
      <c r="E279" s="5">
        <v>0</v>
      </c>
      <c r="F279" s="5">
        <v>0</v>
      </c>
      <c r="G279" s="5">
        <v>0</v>
      </c>
      <c r="H279" s="4" t="s">
        <v>11</v>
      </c>
      <c r="I279" s="5">
        <v>0</v>
      </c>
      <c r="J279" s="4">
        <v>46028.442094907405</v>
      </c>
    </row>
    <row r="280" spans="1:10" x14ac:dyDescent="0.2">
      <c r="A280" s="2" t="s">
        <v>10</v>
      </c>
      <c r="B280" s="3" t="str">
        <f t="shared" si="10"/>
        <v>Email Abilify Maintena 960 mg En pratique_FR-AM2-2400045</v>
      </c>
      <c r="C280" s="3" t="str">
        <f>HYPERLINK("https://otsuka-europe-crm.veevavault.com/ui/#object/sent_email__v/VBL000000012708", "SE-001399337")</f>
        <v>SE-001399337</v>
      </c>
      <c r="D280" s="4" t="s">
        <v>11</v>
      </c>
      <c r="E280" s="5">
        <v>0</v>
      </c>
      <c r="F280" s="5">
        <v>0</v>
      </c>
      <c r="G280" s="5">
        <v>0</v>
      </c>
      <c r="H280" s="4" t="s">
        <v>11</v>
      </c>
      <c r="I280" s="5">
        <v>0</v>
      </c>
      <c r="J280" s="4">
        <v>46028.442129629628</v>
      </c>
    </row>
    <row r="281" spans="1:10" x14ac:dyDescent="0.2">
      <c r="A281" s="2" t="s">
        <v>10</v>
      </c>
      <c r="B281" s="3" t="str">
        <f t="shared" si="10"/>
        <v>Email Abilify Maintena 960 mg En pratique_FR-AM2-2400045</v>
      </c>
      <c r="C281" s="3" t="str">
        <f>HYPERLINK("https://otsuka-europe-crm.veevavault.com/ui/#object/sent_email__v/VBL000000012709", "SE-001399338")</f>
        <v>SE-001399338</v>
      </c>
      <c r="D281" s="4">
        <v>46030.893310185187</v>
      </c>
      <c r="E281" s="5">
        <v>1</v>
      </c>
      <c r="F281" s="5">
        <v>4</v>
      </c>
      <c r="G281" s="5">
        <v>0</v>
      </c>
      <c r="H281" s="4" t="s">
        <v>11</v>
      </c>
      <c r="I281" s="5">
        <v>0</v>
      </c>
      <c r="J281" s="4">
        <v>46028.442175925928</v>
      </c>
    </row>
    <row r="282" spans="1:10" x14ac:dyDescent="0.2">
      <c r="A282" s="2" t="s">
        <v>10</v>
      </c>
      <c r="B282" s="3" t="str">
        <f t="shared" si="10"/>
        <v>Email Abilify Maintena 960 mg En pratique_FR-AM2-2400045</v>
      </c>
      <c r="C282" s="3" t="str">
        <f>HYPERLINK("https://otsuka-europe-crm.veevavault.com/ui/#object/sent_email__v/VBL000000012710", "SE-001399339")</f>
        <v>SE-001399339</v>
      </c>
      <c r="D282" s="4" t="s">
        <v>11</v>
      </c>
      <c r="E282" s="5">
        <v>0</v>
      </c>
      <c r="F282" s="5">
        <v>0</v>
      </c>
      <c r="G282" s="5">
        <v>0</v>
      </c>
      <c r="H282" s="4" t="s">
        <v>11</v>
      </c>
      <c r="I282" s="5">
        <v>0</v>
      </c>
      <c r="J282" s="4">
        <v>46028.442210648151</v>
      </c>
    </row>
    <row r="283" spans="1:10" x14ac:dyDescent="0.2">
      <c r="A283" s="2" t="s">
        <v>10</v>
      </c>
      <c r="B283" s="3" t="str">
        <f t="shared" si="10"/>
        <v>Email Abilify Maintena 960 mg En pratique_FR-AM2-2400045</v>
      </c>
      <c r="C283" s="3" t="str">
        <f>HYPERLINK("https://otsuka-europe-crm.veevavault.com/ui/#object/sent_email__v/VBL000000012711", "SE-001399340")</f>
        <v>SE-001399340</v>
      </c>
      <c r="D283" s="4" t="s">
        <v>11</v>
      </c>
      <c r="E283" s="5">
        <v>0</v>
      </c>
      <c r="F283" s="5">
        <v>0</v>
      </c>
      <c r="G283" s="5">
        <v>0</v>
      </c>
      <c r="H283" s="4" t="s">
        <v>11</v>
      </c>
      <c r="I283" s="5">
        <v>0</v>
      </c>
      <c r="J283" s="4">
        <v>46028.442245370374</v>
      </c>
    </row>
    <row r="284" spans="1:10" x14ac:dyDescent="0.2">
      <c r="A284" s="2" t="s">
        <v>10</v>
      </c>
      <c r="B284" s="3" t="str">
        <f t="shared" si="10"/>
        <v>Email Abilify Maintena 960 mg En pratique_FR-AM2-2400045</v>
      </c>
      <c r="C284" s="3" t="str">
        <f>HYPERLINK("https://otsuka-europe-crm.veevavault.com/ui/#object/sent_email__v/VBL000000012712", "SE-001399341")</f>
        <v>SE-001399341</v>
      </c>
      <c r="D284" s="4" t="s">
        <v>11</v>
      </c>
      <c r="E284" s="5">
        <v>0</v>
      </c>
      <c r="F284" s="5">
        <v>0</v>
      </c>
      <c r="G284" s="5">
        <v>0</v>
      </c>
      <c r="H284" s="4" t="s">
        <v>11</v>
      </c>
      <c r="I284" s="5">
        <v>0</v>
      </c>
      <c r="J284" s="4">
        <v>46028.442280092589</v>
      </c>
    </row>
    <row r="285" spans="1:10" x14ac:dyDescent="0.2">
      <c r="A285" s="2" t="s">
        <v>10</v>
      </c>
      <c r="B285" s="3" t="str">
        <f t="shared" si="10"/>
        <v>Email Abilify Maintena 960 mg En pratique_FR-AM2-2400045</v>
      </c>
      <c r="C285" s="3" t="str">
        <f>HYPERLINK("https://otsuka-europe-crm.veevavault.com/ui/#object/sent_email__v/VBL000000012713", "SE-001399342")</f>
        <v>SE-001399342</v>
      </c>
      <c r="D285" s="4" t="s">
        <v>11</v>
      </c>
      <c r="E285" s="5">
        <v>0</v>
      </c>
      <c r="F285" s="5">
        <v>0</v>
      </c>
      <c r="G285" s="5">
        <v>0</v>
      </c>
      <c r="H285" s="4" t="s">
        <v>11</v>
      </c>
      <c r="I285" s="5">
        <v>0</v>
      </c>
      <c r="J285" s="4">
        <v>46028.442314814813</v>
      </c>
    </row>
    <row r="286" spans="1:10" x14ac:dyDescent="0.2">
      <c r="A286" s="2" t="s">
        <v>10</v>
      </c>
      <c r="B286" s="3" t="str">
        <f t="shared" si="10"/>
        <v>Email Abilify Maintena 960 mg En pratique_FR-AM2-2400045</v>
      </c>
      <c r="C286" s="3" t="str">
        <f>HYPERLINK("https://otsuka-europe-crm.veevavault.com/ui/#object/sent_email__v/VBL000000012714", "SE-001399343")</f>
        <v>SE-001399343</v>
      </c>
      <c r="D286" s="4" t="s">
        <v>11</v>
      </c>
      <c r="E286" s="5">
        <v>0</v>
      </c>
      <c r="F286" s="5">
        <v>0</v>
      </c>
      <c r="G286" s="5">
        <v>0</v>
      </c>
      <c r="H286" s="4" t="s">
        <v>11</v>
      </c>
      <c r="I286" s="5">
        <v>0</v>
      </c>
      <c r="J286" s="4">
        <v>46028.442349537036</v>
      </c>
    </row>
    <row r="287" spans="1:10" x14ac:dyDescent="0.2">
      <c r="A287" s="2" t="s">
        <v>10</v>
      </c>
      <c r="B287" s="3" t="str">
        <f t="shared" si="10"/>
        <v>Email Abilify Maintena 960 mg En pratique_FR-AM2-2400045</v>
      </c>
      <c r="C287" s="3" t="str">
        <f>HYPERLINK("https://otsuka-europe-crm.veevavault.com/ui/#object/sent_email__v/VBL000000012715", "SE-001399344")</f>
        <v>SE-001399344</v>
      </c>
      <c r="D287" s="4" t="s">
        <v>11</v>
      </c>
      <c r="E287" s="5">
        <v>0</v>
      </c>
      <c r="F287" s="5">
        <v>0</v>
      </c>
      <c r="G287" s="5">
        <v>0</v>
      </c>
      <c r="H287" s="4" t="s">
        <v>11</v>
      </c>
      <c r="I287" s="5">
        <v>0</v>
      </c>
      <c r="J287" s="4">
        <v>46028.442395833335</v>
      </c>
    </row>
    <row r="288" spans="1:10" x14ac:dyDescent="0.2">
      <c r="A288" s="2" t="s">
        <v>10</v>
      </c>
      <c r="B288" s="3" t="str">
        <f t="shared" si="10"/>
        <v>Email Abilify Maintena 960 mg En pratique_FR-AM2-2400045</v>
      </c>
      <c r="C288" s="3" t="str">
        <f>HYPERLINK("https://otsuka-europe-crm.veevavault.com/ui/#object/sent_email__v/VBL000000012716", "SE-001399345")</f>
        <v>SE-001399345</v>
      </c>
      <c r="D288" s="4" t="s">
        <v>11</v>
      </c>
      <c r="E288" s="5">
        <v>0</v>
      </c>
      <c r="F288" s="5">
        <v>0</v>
      </c>
      <c r="G288" s="5">
        <v>0</v>
      </c>
      <c r="H288" s="4" t="s">
        <v>11</v>
      </c>
      <c r="I288" s="5">
        <v>0</v>
      </c>
      <c r="J288" s="4">
        <v>46028.442418981482</v>
      </c>
    </row>
    <row r="289" spans="1:10" x14ac:dyDescent="0.2">
      <c r="A289" s="2" t="s">
        <v>10</v>
      </c>
      <c r="B289" s="3" t="str">
        <f t="shared" si="10"/>
        <v>Email Abilify Maintena 960 mg En pratique_FR-AM2-2400045</v>
      </c>
      <c r="C289" s="3" t="str">
        <f>HYPERLINK("https://otsuka-europe-crm.veevavault.com/ui/#object/sent_email__v/VBL000000012717", "SE-001399346")</f>
        <v>SE-001399346</v>
      </c>
      <c r="D289" s="4" t="s">
        <v>11</v>
      </c>
      <c r="E289" s="5">
        <v>0</v>
      </c>
      <c r="F289" s="5">
        <v>0</v>
      </c>
      <c r="G289" s="5">
        <v>0</v>
      </c>
      <c r="H289" s="4" t="s">
        <v>11</v>
      </c>
      <c r="I289" s="5">
        <v>0</v>
      </c>
      <c r="J289" s="4">
        <v>46028.442465277774</v>
      </c>
    </row>
    <row r="290" spans="1:10" x14ac:dyDescent="0.2">
      <c r="A290" s="2" t="s">
        <v>10</v>
      </c>
      <c r="B290" s="3" t="str">
        <f t="shared" si="10"/>
        <v>Email Abilify Maintena 960 mg En pratique_FR-AM2-2400045</v>
      </c>
      <c r="C290" s="3" t="str">
        <f>HYPERLINK("https://otsuka-europe-crm.veevavault.com/ui/#object/sent_email__v/VBL000000012718", "SE-001399347")</f>
        <v>SE-001399347</v>
      </c>
      <c r="D290" s="4" t="s">
        <v>11</v>
      </c>
      <c r="E290" s="5">
        <v>0</v>
      </c>
      <c r="F290" s="5">
        <v>0</v>
      </c>
      <c r="G290" s="5">
        <v>0</v>
      </c>
      <c r="H290" s="4" t="s">
        <v>11</v>
      </c>
      <c r="I290" s="5">
        <v>0</v>
      </c>
      <c r="J290" s="4">
        <v>46028.442499999997</v>
      </c>
    </row>
    <row r="291" spans="1:10" x14ac:dyDescent="0.2">
      <c r="A291" s="2" t="s">
        <v>10</v>
      </c>
      <c r="B291" s="3" t="str">
        <f t="shared" si="10"/>
        <v>Email Abilify Maintena 960 mg En pratique_FR-AM2-2400045</v>
      </c>
      <c r="C291" s="3" t="str">
        <f>HYPERLINK("https://otsuka-europe-crm.veevavault.com/ui/#object/sent_email__v/VBL000000012719", "SE-001399348")</f>
        <v>SE-001399348</v>
      </c>
      <c r="D291" s="4" t="s">
        <v>11</v>
      </c>
      <c r="E291" s="5">
        <v>0</v>
      </c>
      <c r="F291" s="5">
        <v>0</v>
      </c>
      <c r="G291" s="5">
        <v>0</v>
      </c>
      <c r="H291" s="4" t="s">
        <v>11</v>
      </c>
      <c r="I291" s="5">
        <v>0</v>
      </c>
      <c r="J291" s="4">
        <v>46028.44253472222</v>
      </c>
    </row>
    <row r="292" spans="1:10" x14ac:dyDescent="0.2">
      <c r="A292" s="2" t="s">
        <v>10</v>
      </c>
      <c r="B292" s="3" t="str">
        <f t="shared" si="10"/>
        <v>Email Abilify Maintena 960 mg En pratique_FR-AM2-2400045</v>
      </c>
      <c r="C292" s="3" t="str">
        <f>HYPERLINK("https://otsuka-europe-crm.veevavault.com/ui/#object/sent_email__v/VBL000000012720", "SE-001399349")</f>
        <v>SE-001399349</v>
      </c>
      <c r="D292" s="4" t="s">
        <v>11</v>
      </c>
      <c r="E292" s="5">
        <v>0</v>
      </c>
      <c r="F292" s="5">
        <v>0</v>
      </c>
      <c r="G292" s="5">
        <v>0</v>
      </c>
      <c r="H292" s="4" t="s">
        <v>11</v>
      </c>
      <c r="I292" s="5">
        <v>0</v>
      </c>
      <c r="J292" s="4">
        <v>46028.442569444444</v>
      </c>
    </row>
    <row r="293" spans="1:10" x14ac:dyDescent="0.2">
      <c r="A293" s="2" t="s">
        <v>10</v>
      </c>
      <c r="B293" s="3" t="str">
        <f t="shared" si="10"/>
        <v>Email Abilify Maintena 960 mg En pratique_FR-AM2-2400045</v>
      </c>
      <c r="C293" s="3" t="str">
        <f>HYPERLINK("https://otsuka-europe-crm.veevavault.com/ui/#object/sent_email__v/VBL000000012721", "SE-001399350")</f>
        <v>SE-001399350</v>
      </c>
      <c r="D293" s="4">
        <v>46028.466805555552</v>
      </c>
      <c r="E293" s="5">
        <v>1</v>
      </c>
      <c r="F293" s="5">
        <v>1</v>
      </c>
      <c r="G293" s="5">
        <v>0</v>
      </c>
      <c r="H293" s="4" t="s">
        <v>11</v>
      </c>
      <c r="I293" s="5">
        <v>0</v>
      </c>
      <c r="J293" s="4">
        <v>46028.442615740743</v>
      </c>
    </row>
    <row r="294" spans="1:10" x14ac:dyDescent="0.2">
      <c r="A294" s="2" t="s">
        <v>10</v>
      </c>
      <c r="B294" s="3" t="str">
        <f t="shared" si="10"/>
        <v>Email Abilify Maintena 960 mg En pratique_FR-AM2-2400045</v>
      </c>
      <c r="C294" s="3" t="str">
        <f>HYPERLINK("https://otsuka-europe-crm.veevavault.com/ui/#object/sent_email__v/VBL000000012722", "SE-001399351")</f>
        <v>SE-001399351</v>
      </c>
      <c r="D294" s="4" t="s">
        <v>11</v>
      </c>
      <c r="E294" s="5">
        <v>0</v>
      </c>
      <c r="F294" s="5">
        <v>0</v>
      </c>
      <c r="G294" s="5">
        <v>0</v>
      </c>
      <c r="H294" s="4" t="s">
        <v>11</v>
      </c>
      <c r="I294" s="5">
        <v>0</v>
      </c>
      <c r="J294" s="4">
        <v>46028.44263888889</v>
      </c>
    </row>
    <row r="295" spans="1:10" x14ac:dyDescent="0.2">
      <c r="A295" s="2" t="s">
        <v>10</v>
      </c>
      <c r="B295" s="3" t="str">
        <f t="shared" si="10"/>
        <v>Email Abilify Maintena 960 mg En pratique_FR-AM2-2400045</v>
      </c>
      <c r="C295" s="3" t="str">
        <f>HYPERLINK("https://otsuka-europe-crm.veevavault.com/ui/#object/sent_email__v/VBL000000012723", "SE-001399352")</f>
        <v>SE-001399352</v>
      </c>
      <c r="D295" s="4" t="s">
        <v>11</v>
      </c>
      <c r="E295" s="5">
        <v>0</v>
      </c>
      <c r="F295" s="5">
        <v>0</v>
      </c>
      <c r="G295" s="5">
        <v>0</v>
      </c>
      <c r="H295" s="4" t="s">
        <v>11</v>
      </c>
      <c r="I295" s="5">
        <v>0</v>
      </c>
      <c r="J295" s="4">
        <v>46028.442673611113</v>
      </c>
    </row>
    <row r="296" spans="1:10" x14ac:dyDescent="0.2">
      <c r="A296" s="2" t="s">
        <v>10</v>
      </c>
      <c r="B296" s="3" t="str">
        <f t="shared" si="10"/>
        <v>Email Abilify Maintena 960 mg En pratique_FR-AM2-2400045</v>
      </c>
      <c r="C296" s="3" t="str">
        <f>HYPERLINK("https://otsuka-europe-crm.veevavault.com/ui/#object/sent_email__v/VBL000000012802", "SE-001399542")</f>
        <v>SE-001399542</v>
      </c>
      <c r="D296" s="4">
        <v>46075.356481481482</v>
      </c>
      <c r="E296" s="5">
        <v>1</v>
      </c>
      <c r="F296" s="5">
        <v>2</v>
      </c>
      <c r="G296" s="5">
        <v>0</v>
      </c>
      <c r="H296" s="4" t="s">
        <v>11</v>
      </c>
      <c r="I296" s="5">
        <v>0</v>
      </c>
      <c r="J296" s="4">
        <v>46031.535312499997</v>
      </c>
    </row>
    <row r="297" spans="1:10" x14ac:dyDescent="0.2">
      <c r="A297" s="2" t="s">
        <v>10</v>
      </c>
      <c r="B297" s="3" t="str">
        <f t="shared" si="10"/>
        <v>Email Abilify Maintena 960 mg En pratique_FR-AM2-2400045</v>
      </c>
      <c r="C297" s="3" t="str">
        <f>HYPERLINK("https://otsuka-europe-crm.veevavault.com/ui/#object/sent_email__v/VBL000000012803", "SE-001399543")</f>
        <v>SE-001399543</v>
      </c>
      <c r="D297" s="4" t="s">
        <v>11</v>
      </c>
      <c r="E297" s="5">
        <v>0</v>
      </c>
      <c r="F297" s="5">
        <v>0</v>
      </c>
      <c r="G297" s="5">
        <v>0</v>
      </c>
      <c r="H297" s="4" t="s">
        <v>11</v>
      </c>
      <c r="I297" s="5">
        <v>0</v>
      </c>
      <c r="J297" s="4">
        <v>46031.535671296297</v>
      </c>
    </row>
    <row r="298" spans="1:10" x14ac:dyDescent="0.2">
      <c r="A298" s="2" t="s">
        <v>10</v>
      </c>
      <c r="B298" s="3" t="str">
        <f t="shared" si="10"/>
        <v>Email Abilify Maintena 960 mg En pratique_FR-AM2-2400045</v>
      </c>
      <c r="C298" s="3" t="str">
        <f>HYPERLINK("https://otsuka-europe-crm.veevavault.com/ui/#object/sent_email__v/VBL000000012806", "SE-001399546")</f>
        <v>SE-001399546</v>
      </c>
      <c r="D298" s="4" t="s">
        <v>11</v>
      </c>
      <c r="E298" s="5">
        <v>0</v>
      </c>
      <c r="F298" s="5">
        <v>0</v>
      </c>
      <c r="G298" s="5">
        <v>0</v>
      </c>
      <c r="H298" s="4" t="s">
        <v>11</v>
      </c>
      <c r="I298" s="5">
        <v>0</v>
      </c>
      <c r="J298" s="4">
        <v>46031.536944444444</v>
      </c>
    </row>
    <row r="299" spans="1:10" x14ac:dyDescent="0.2">
      <c r="A299" s="2" t="s">
        <v>10</v>
      </c>
      <c r="B299" s="3" t="str">
        <f t="shared" si="10"/>
        <v>Email Abilify Maintena 960 mg En pratique_FR-AM2-2400045</v>
      </c>
      <c r="C299" s="3" t="str">
        <f>HYPERLINK("https://otsuka-europe-crm.veevavault.com/ui/#object/sent_email__v/VBL000000012807", "SE-001399547")</f>
        <v>SE-001399547</v>
      </c>
      <c r="D299" s="4" t="s">
        <v>11</v>
      </c>
      <c r="E299" s="5">
        <v>0</v>
      </c>
      <c r="F299" s="5">
        <v>0</v>
      </c>
      <c r="G299" s="5">
        <v>0</v>
      </c>
      <c r="H299" s="4" t="s">
        <v>11</v>
      </c>
      <c r="I299" s="5">
        <v>0</v>
      </c>
      <c r="J299" s="4">
        <v>46031.538368055553</v>
      </c>
    </row>
    <row r="300" spans="1:10" x14ac:dyDescent="0.2">
      <c r="A300" s="2" t="s">
        <v>10</v>
      </c>
      <c r="B300" s="3" t="str">
        <f t="shared" si="10"/>
        <v>Email Abilify Maintena 960 mg En pratique_FR-AM2-2400045</v>
      </c>
      <c r="C300" s="3" t="str">
        <f>HYPERLINK("https://otsuka-europe-crm.veevavault.com/ui/#object/sent_email__v/VBL000000012813", "SE-001399555")</f>
        <v>SE-001399555</v>
      </c>
      <c r="D300" s="4" t="s">
        <v>11</v>
      </c>
      <c r="E300" s="5">
        <v>0</v>
      </c>
      <c r="F300" s="5">
        <v>0</v>
      </c>
      <c r="G300" s="5">
        <v>0</v>
      </c>
      <c r="H300" s="4" t="s">
        <v>11</v>
      </c>
      <c r="I300" s="5">
        <v>0</v>
      </c>
      <c r="J300" s="4">
        <v>46031.650127314817</v>
      </c>
    </row>
    <row r="301" spans="1:10" x14ac:dyDescent="0.2">
      <c r="A301" s="2" t="s">
        <v>10</v>
      </c>
      <c r="B301" s="3" t="str">
        <f t="shared" si="10"/>
        <v>Email Abilify Maintena 960 mg En pratique_FR-AM2-2400045</v>
      </c>
      <c r="C301" s="3" t="str">
        <f>HYPERLINK("https://otsuka-europe-crm.veevavault.com/ui/#object/sent_email__v/VBL000000012856", "SE-001399708")</f>
        <v>SE-001399708</v>
      </c>
      <c r="D301" s="4">
        <v>46034.940243055556</v>
      </c>
      <c r="E301" s="5">
        <v>1</v>
      </c>
      <c r="F301" s="5">
        <v>1</v>
      </c>
      <c r="G301" s="5">
        <v>0</v>
      </c>
      <c r="H301" s="4" t="s">
        <v>11</v>
      </c>
      <c r="I301" s="5">
        <v>0</v>
      </c>
      <c r="J301" s="4">
        <v>46034.425370370373</v>
      </c>
    </row>
    <row r="302" spans="1:10" x14ac:dyDescent="0.2">
      <c r="A302" s="2" t="s">
        <v>10</v>
      </c>
      <c r="B302" s="3" t="str">
        <f t="shared" si="10"/>
        <v>Email Abilify Maintena 960 mg En pratique_FR-AM2-2400045</v>
      </c>
      <c r="C302" s="3" t="str">
        <f>HYPERLINK("https://otsuka-europe-crm.veevavault.com/ui/#object/sent_email__v/VBL000000012860", "SE-001399757")</f>
        <v>SE-001399757</v>
      </c>
      <c r="D302" s="4" t="s">
        <v>11</v>
      </c>
      <c r="E302" s="5">
        <v>0</v>
      </c>
      <c r="F302" s="5">
        <v>0</v>
      </c>
      <c r="G302" s="5">
        <v>0</v>
      </c>
      <c r="H302" s="4" t="s">
        <v>11</v>
      </c>
      <c r="I302" s="5">
        <v>0</v>
      </c>
      <c r="J302" s="4">
        <v>46034.505567129629</v>
      </c>
    </row>
    <row r="303" spans="1:10" x14ac:dyDescent="0.2">
      <c r="A303" s="2" t="s">
        <v>10</v>
      </c>
      <c r="B303" s="3" t="str">
        <f t="shared" si="10"/>
        <v>Email Abilify Maintena 960 mg En pratique_FR-AM2-2400045</v>
      </c>
      <c r="C303" s="3" t="str">
        <f>HYPERLINK("https://otsuka-europe-crm.veevavault.com/ui/#object/sent_email__v/VBL000000014151", "SE-001399892")</f>
        <v>SE-001399892</v>
      </c>
      <c r="D303" s="4">
        <v>46041.776585648149</v>
      </c>
      <c r="E303" s="5">
        <v>1</v>
      </c>
      <c r="F303" s="5">
        <v>2</v>
      </c>
      <c r="G303" s="5">
        <v>0</v>
      </c>
      <c r="H303" s="4" t="s">
        <v>11</v>
      </c>
      <c r="I303" s="5">
        <v>0</v>
      </c>
      <c r="J303" s="4">
        <v>46037.39329861111</v>
      </c>
    </row>
    <row r="304" spans="1:10" x14ac:dyDescent="0.2">
      <c r="A304" s="2" t="s">
        <v>10</v>
      </c>
      <c r="B304" s="3" t="str">
        <f t="shared" si="10"/>
        <v>Email Abilify Maintena 960 mg En pratique_FR-AM2-2400045</v>
      </c>
      <c r="C304" s="3" t="str">
        <f>HYPERLINK("https://otsuka-europe-crm.veevavault.com/ui/#object/sent_email__v/VBL000000014215", "SE-001400005")</f>
        <v>SE-001400005</v>
      </c>
      <c r="D304" s="4" t="s">
        <v>11</v>
      </c>
      <c r="E304" s="5">
        <v>0</v>
      </c>
      <c r="F304" s="5">
        <v>0</v>
      </c>
      <c r="G304" s="5">
        <v>0</v>
      </c>
      <c r="H304" s="4" t="s">
        <v>11</v>
      </c>
      <c r="I304" s="5">
        <v>0</v>
      </c>
      <c r="J304" s="4">
        <v>46037.668715277781</v>
      </c>
    </row>
    <row r="305" spans="1:10" x14ac:dyDescent="0.2">
      <c r="A305" s="2" t="s">
        <v>10</v>
      </c>
      <c r="B305" s="3" t="str">
        <f t="shared" si="10"/>
        <v>Email Abilify Maintena 960 mg En pratique_FR-AM2-2400045</v>
      </c>
      <c r="C305" s="3" t="str">
        <f>HYPERLINK("https://otsuka-europe-crm.veevavault.com/ui/#object/sent_email__v/VBL000000015066", "SE-001400143")</f>
        <v>SE-001400143</v>
      </c>
      <c r="D305" s="4" t="s">
        <v>11</v>
      </c>
      <c r="E305" s="5">
        <v>0</v>
      </c>
      <c r="F305" s="5">
        <v>0</v>
      </c>
      <c r="G305" s="5">
        <v>0</v>
      </c>
      <c r="H305" s="4" t="s">
        <v>11</v>
      </c>
      <c r="I305" s="5">
        <v>0</v>
      </c>
      <c r="J305" s="4">
        <v>46038.472175925926</v>
      </c>
    </row>
    <row r="306" spans="1:10" x14ac:dyDescent="0.2">
      <c r="A306" s="2" t="s">
        <v>10</v>
      </c>
      <c r="B306" s="3" t="str">
        <f t="shared" si="10"/>
        <v>Email Abilify Maintena 960 mg En pratique_FR-AM2-2400045</v>
      </c>
      <c r="C306" s="3" t="str">
        <f>HYPERLINK("https://otsuka-europe-crm.veevavault.com/ui/#object/sent_email__v/VBL000000016092", "SE-001400206")</f>
        <v>SE-001400206</v>
      </c>
      <c r="D306" s="4" t="s">
        <v>11</v>
      </c>
      <c r="E306" s="5">
        <v>0</v>
      </c>
      <c r="F306" s="5">
        <v>0</v>
      </c>
      <c r="G306" s="5">
        <v>0</v>
      </c>
      <c r="H306" s="4" t="s">
        <v>11</v>
      </c>
      <c r="I306" s="5">
        <v>0</v>
      </c>
      <c r="J306" s="4">
        <v>46043.429085648146</v>
      </c>
    </row>
    <row r="307" spans="1:10" x14ac:dyDescent="0.2">
      <c r="A307" s="2" t="s">
        <v>10</v>
      </c>
      <c r="B307" s="3" t="str">
        <f t="shared" si="10"/>
        <v>Email Abilify Maintena 960 mg En pratique_FR-AM2-2400045</v>
      </c>
      <c r="C307" s="3" t="str">
        <f>HYPERLINK("https://otsuka-europe-crm.veevavault.com/ui/#object/sent_email__v/VBL000000015125", "SE-001400234")</f>
        <v>SE-001400234</v>
      </c>
      <c r="D307" s="4" t="s">
        <v>11</v>
      </c>
      <c r="E307" s="5">
        <v>0</v>
      </c>
      <c r="F307" s="5">
        <v>0</v>
      </c>
      <c r="G307" s="5">
        <v>0</v>
      </c>
      <c r="H307" s="4" t="s">
        <v>11</v>
      </c>
      <c r="I307" s="5">
        <v>0</v>
      </c>
      <c r="J307" s="4">
        <v>46043.429027777776</v>
      </c>
    </row>
    <row r="308" spans="1:10" x14ac:dyDescent="0.2">
      <c r="A308" s="2" t="s">
        <v>10</v>
      </c>
      <c r="B308" s="3" t="str">
        <f t="shared" si="10"/>
        <v>Email Abilify Maintena 960 mg En pratique_FR-AM2-2400045</v>
      </c>
      <c r="C308" s="3" t="str">
        <f>HYPERLINK("https://otsuka-europe-crm.veevavault.com/ui/#object/sent_email__v/VBL000000015219", "SE-001400427")</f>
        <v>SE-001400427</v>
      </c>
      <c r="D308" s="4" t="s">
        <v>11</v>
      </c>
      <c r="E308" s="5">
        <v>0</v>
      </c>
      <c r="F308" s="5">
        <v>0</v>
      </c>
      <c r="G308" s="5">
        <v>0</v>
      </c>
      <c r="H308" s="4" t="s">
        <v>11</v>
      </c>
      <c r="I308" s="5">
        <v>0</v>
      </c>
      <c r="J308" s="4">
        <v>46043.429016203707</v>
      </c>
    </row>
    <row r="309" spans="1:10" x14ac:dyDescent="0.2">
      <c r="A309" s="2" t="s">
        <v>10</v>
      </c>
      <c r="B309" s="3" t="str">
        <f t="shared" si="10"/>
        <v>Email Abilify Maintena 960 mg En pratique_FR-AM2-2400045</v>
      </c>
      <c r="C309" s="3" t="str">
        <f>HYPERLINK("https://otsuka-europe-crm.veevavault.com/ui/#object/sent_email__v/VBL000000015220", "SE-001400429")</f>
        <v>SE-001400429</v>
      </c>
      <c r="D309" s="4" t="s">
        <v>11</v>
      </c>
      <c r="E309" s="5">
        <v>0</v>
      </c>
      <c r="F309" s="5">
        <v>0</v>
      </c>
      <c r="G309" s="5">
        <v>0</v>
      </c>
      <c r="H309" s="4" t="s">
        <v>11</v>
      </c>
      <c r="I309" s="5">
        <v>0</v>
      </c>
      <c r="J309" s="4">
        <v>46043.429062499999</v>
      </c>
    </row>
    <row r="310" spans="1:10" x14ac:dyDescent="0.2">
      <c r="A310" s="2" t="s">
        <v>10</v>
      </c>
      <c r="B310" s="3" t="str">
        <f t="shared" si="10"/>
        <v>Email Abilify Maintena 960 mg En pratique_FR-AM2-2400045</v>
      </c>
      <c r="C310" s="3" t="str">
        <f>HYPERLINK("https://otsuka-europe-crm.veevavault.com/ui/#object/sent_email__v/VBL000000016347", "SE-001400574")</f>
        <v>SE-001400574</v>
      </c>
      <c r="D310" s="4" t="s">
        <v>11</v>
      </c>
      <c r="E310" s="5">
        <v>0</v>
      </c>
      <c r="F310" s="5">
        <v>0</v>
      </c>
      <c r="G310" s="5">
        <v>0</v>
      </c>
      <c r="H310" s="4" t="s">
        <v>11</v>
      </c>
      <c r="I310" s="5">
        <v>0</v>
      </c>
      <c r="J310" s="4">
        <v>46043.429166666669</v>
      </c>
    </row>
    <row r="311" spans="1:10" x14ac:dyDescent="0.2">
      <c r="A311" s="2" t="s">
        <v>10</v>
      </c>
      <c r="B311" s="3" t="str">
        <f t="shared" ref="B311:B324" si="11">HYPERLINK("https://otsuka-europe-crm.veevavault.com/ui/#object/approved_document__v/V5OZ025E82N35U9", "Email Abilify Maintena 960 mg En pratique_FR-AM2-2400045")</f>
        <v>Email Abilify Maintena 960 mg En pratique_FR-AM2-2400045</v>
      </c>
      <c r="C311" s="3" t="str">
        <f>HYPERLINK("https://otsuka-europe-crm.veevavault.com/ui/#object/sent_email__v/VBL000000015234", "SE-001400579")</f>
        <v>SE-001400579</v>
      </c>
      <c r="D311" s="4" t="s">
        <v>11</v>
      </c>
      <c r="E311" s="5">
        <v>0</v>
      </c>
      <c r="F311" s="5">
        <v>0</v>
      </c>
      <c r="G311" s="5">
        <v>0</v>
      </c>
      <c r="H311" s="4" t="s">
        <v>11</v>
      </c>
      <c r="I311" s="5">
        <v>0</v>
      </c>
      <c r="J311" s="4">
        <v>46043.429305555554</v>
      </c>
    </row>
    <row r="312" spans="1:10" x14ac:dyDescent="0.2">
      <c r="A312" s="2" t="s">
        <v>10</v>
      </c>
      <c r="B312" s="3" t="str">
        <f t="shared" si="11"/>
        <v>Email Abilify Maintena 960 mg En pratique_FR-AM2-2400045</v>
      </c>
      <c r="C312" s="3" t="str">
        <f>HYPERLINK("https://otsuka-europe-crm.veevavault.com/ui/#object/sent_email__v/VBL000000016470", "SE-001400747")</f>
        <v>SE-001400747</v>
      </c>
      <c r="D312" s="4" t="s">
        <v>11</v>
      </c>
      <c r="E312" s="5">
        <v>0</v>
      </c>
      <c r="F312" s="5">
        <v>0</v>
      </c>
      <c r="G312" s="5">
        <v>0</v>
      </c>
      <c r="H312" s="4" t="s">
        <v>11</v>
      </c>
      <c r="I312" s="5">
        <v>0</v>
      </c>
      <c r="J312" s="4">
        <v>46043.719143518516</v>
      </c>
    </row>
    <row r="313" spans="1:10" x14ac:dyDescent="0.2">
      <c r="A313" s="2" t="s">
        <v>10</v>
      </c>
      <c r="B313" s="3" t="str">
        <f t="shared" si="11"/>
        <v>Email Abilify Maintena 960 mg En pratique_FR-AM2-2400045</v>
      </c>
      <c r="C313" s="3" t="str">
        <f>HYPERLINK("https://otsuka-europe-crm.veevavault.com/ui/#object/sent_email__v/VBL000000015324", "SE-001400858")</f>
        <v>SE-001400858</v>
      </c>
      <c r="D313" s="4" t="s">
        <v>11</v>
      </c>
      <c r="E313" s="5">
        <v>0</v>
      </c>
      <c r="F313" s="5">
        <v>0</v>
      </c>
      <c r="G313" s="5">
        <v>0</v>
      </c>
      <c r="H313" s="4" t="s">
        <v>11</v>
      </c>
      <c r="I313" s="5">
        <v>0</v>
      </c>
      <c r="J313" s="4">
        <v>46045.473298611112</v>
      </c>
    </row>
    <row r="314" spans="1:10" x14ac:dyDescent="0.2">
      <c r="A314" s="2" t="s">
        <v>10</v>
      </c>
      <c r="B314" s="3" t="str">
        <f t="shared" si="11"/>
        <v>Email Abilify Maintena 960 mg En pratique_FR-AM2-2400045</v>
      </c>
      <c r="C314" s="3" t="str">
        <f>HYPERLINK("https://otsuka-europe-crm.veevavault.com/ui/#object/sent_email__v/VBL000000016571", "SE-001400884")</f>
        <v>SE-001400884</v>
      </c>
      <c r="D314" s="4" t="s">
        <v>11</v>
      </c>
      <c r="E314" s="5">
        <v>0</v>
      </c>
      <c r="F314" s="5">
        <v>0</v>
      </c>
      <c r="G314" s="5">
        <v>0</v>
      </c>
      <c r="H314" s="4" t="s">
        <v>11</v>
      </c>
      <c r="I314" s="5">
        <v>0</v>
      </c>
      <c r="J314" s="4">
        <v>46045.574120370373</v>
      </c>
    </row>
    <row r="315" spans="1:10" x14ac:dyDescent="0.2">
      <c r="A315" s="2" t="s">
        <v>10</v>
      </c>
      <c r="B315" s="3" t="str">
        <f t="shared" si="11"/>
        <v>Email Abilify Maintena 960 mg En pratique_FR-AM2-2400045</v>
      </c>
      <c r="C315" s="3" t="str">
        <f>HYPERLINK("https://otsuka-europe-crm.veevavault.com/ui/#object/sent_email__v/VBL000000016587", "SE-001400902")</f>
        <v>SE-001400902</v>
      </c>
      <c r="D315" s="4" t="s">
        <v>11</v>
      </c>
      <c r="E315" s="5">
        <v>0</v>
      </c>
      <c r="F315" s="5">
        <v>0</v>
      </c>
      <c r="G315" s="5">
        <v>0</v>
      </c>
      <c r="H315" s="4" t="s">
        <v>11</v>
      </c>
      <c r="I315" s="5">
        <v>0</v>
      </c>
      <c r="J315" s="4">
        <v>46048.280451388891</v>
      </c>
    </row>
    <row r="316" spans="1:10" x14ac:dyDescent="0.2">
      <c r="A316" s="2" t="s">
        <v>10</v>
      </c>
      <c r="B316" s="3" t="str">
        <f t="shared" si="11"/>
        <v>Email Abilify Maintena 960 mg En pratique_FR-AM2-2400045</v>
      </c>
      <c r="C316" s="3" t="str">
        <f>HYPERLINK("https://otsuka-europe-crm.veevavault.com/ui/#object/sent_email__v/VBL000000018093", "SE-001402187")</f>
        <v>SE-001402187</v>
      </c>
      <c r="D316" s="4">
        <v>46051.527870370373</v>
      </c>
      <c r="E316" s="5">
        <v>1</v>
      </c>
      <c r="F316" s="5">
        <v>1</v>
      </c>
      <c r="G316" s="5">
        <v>0</v>
      </c>
      <c r="H316" s="4" t="s">
        <v>11</v>
      </c>
      <c r="I316" s="5">
        <v>0</v>
      </c>
      <c r="J316" s="4">
        <v>46051.525925925926</v>
      </c>
    </row>
    <row r="317" spans="1:10" x14ac:dyDescent="0.2">
      <c r="A317" s="2" t="s">
        <v>10</v>
      </c>
      <c r="B317" s="3" t="str">
        <f t="shared" si="11"/>
        <v>Email Abilify Maintena 960 mg En pratique_FR-AM2-2400045</v>
      </c>
      <c r="C317" s="3" t="str">
        <f>HYPERLINK("https://otsuka-europe-crm.veevavault.com/ui/#object/sent_email__v/VBL000000017162", "SE-001402215")</f>
        <v>SE-001402215</v>
      </c>
      <c r="D317" s="4">
        <v>46052.441377314812</v>
      </c>
      <c r="E317" s="5">
        <v>1</v>
      </c>
      <c r="F317" s="5">
        <v>1</v>
      </c>
      <c r="G317" s="5">
        <v>1</v>
      </c>
      <c r="H317" s="4">
        <v>46052.441377314812</v>
      </c>
      <c r="I317" s="5">
        <v>1</v>
      </c>
      <c r="J317" s="4">
        <v>46051.628807870373</v>
      </c>
    </row>
    <row r="318" spans="1:10" x14ac:dyDescent="0.2">
      <c r="A318" s="2" t="s">
        <v>10</v>
      </c>
      <c r="B318" s="3" t="str">
        <f t="shared" si="11"/>
        <v>Email Abilify Maintena 960 mg En pratique_FR-AM2-2400045</v>
      </c>
      <c r="C318" s="3" t="str">
        <f>HYPERLINK("https://otsuka-europe-crm.veevavault.com/ui/#object/sent_email__v/VBL000000018108", "SE-001402216")</f>
        <v>SE-001402216</v>
      </c>
      <c r="D318" s="4" t="s">
        <v>11</v>
      </c>
      <c r="E318" s="5">
        <v>0</v>
      </c>
      <c r="F318" s="5">
        <v>0</v>
      </c>
      <c r="G318" s="5">
        <v>0</v>
      </c>
      <c r="H318" s="4" t="s">
        <v>11</v>
      </c>
      <c r="I318" s="5">
        <v>0</v>
      </c>
      <c r="J318" s="4">
        <v>46051.629340277781</v>
      </c>
    </row>
    <row r="319" spans="1:10" x14ac:dyDescent="0.2">
      <c r="A319" s="2" t="s">
        <v>10</v>
      </c>
      <c r="B319" s="3" t="str">
        <f t="shared" si="11"/>
        <v>Email Abilify Maintena 960 mg En pratique_FR-AM2-2400045</v>
      </c>
      <c r="C319" s="3" t="str">
        <f>HYPERLINK("https://otsuka-europe-crm.veevavault.com/ui/#object/sent_email__v/VBL000000018111", "SE-001402222")</f>
        <v>SE-001402222</v>
      </c>
      <c r="D319" s="4">
        <v>46052.492789351854</v>
      </c>
      <c r="E319" s="5">
        <v>1</v>
      </c>
      <c r="F319" s="5">
        <v>3</v>
      </c>
      <c r="G319" s="5">
        <v>0</v>
      </c>
      <c r="H319" s="4" t="s">
        <v>11</v>
      </c>
      <c r="I319" s="5">
        <v>0</v>
      </c>
      <c r="J319" s="4">
        <v>46051.631423611114</v>
      </c>
    </row>
    <row r="320" spans="1:10" x14ac:dyDescent="0.2">
      <c r="A320" s="2" t="s">
        <v>10</v>
      </c>
      <c r="B320" s="3" t="str">
        <f t="shared" si="11"/>
        <v>Email Abilify Maintena 960 mg En pratique_FR-AM2-2400045</v>
      </c>
      <c r="C320" s="3" t="str">
        <f>HYPERLINK("https://otsuka-europe-crm.veevavault.com/ui/#object/sent_email__v/VBL00000001A031", "SE-001402321")</f>
        <v>SE-001402321</v>
      </c>
      <c r="D320" s="4">
        <v>46052.670752314814</v>
      </c>
      <c r="E320" s="5">
        <v>1</v>
      </c>
      <c r="F320" s="5">
        <v>2</v>
      </c>
      <c r="G320" s="5">
        <v>0</v>
      </c>
      <c r="H320" s="4" t="s">
        <v>11</v>
      </c>
      <c r="I320" s="5">
        <v>0</v>
      </c>
      <c r="J320" s="4">
        <v>46052.604664351849</v>
      </c>
    </row>
    <row r="321" spans="1:10" x14ac:dyDescent="0.2">
      <c r="A321" s="2" t="s">
        <v>10</v>
      </c>
      <c r="B321" s="3" t="str">
        <f t="shared" si="11"/>
        <v>Email Abilify Maintena 960 mg En pratique_FR-AM2-2400045</v>
      </c>
      <c r="C321" s="3" t="str">
        <f>HYPERLINK("https://otsuka-europe-crm.veevavault.com/ui/#object/sent_email__v/VBL00000001A034", "SE-001402326")</f>
        <v>SE-001402326</v>
      </c>
      <c r="D321" s="4">
        <v>46060.412743055553</v>
      </c>
      <c r="E321" s="5">
        <v>1</v>
      </c>
      <c r="F321" s="5">
        <v>2</v>
      </c>
      <c r="G321" s="5">
        <v>0</v>
      </c>
      <c r="H321" s="4" t="s">
        <v>11</v>
      </c>
      <c r="I321" s="5">
        <v>0</v>
      </c>
      <c r="J321" s="4">
        <v>46055.358935185184</v>
      </c>
    </row>
    <row r="322" spans="1:10" x14ac:dyDescent="0.2">
      <c r="A322" s="2" t="s">
        <v>10</v>
      </c>
      <c r="B322" s="3" t="str">
        <f t="shared" si="11"/>
        <v>Email Abilify Maintena 960 mg En pratique_FR-AM2-2400045</v>
      </c>
      <c r="C322" s="3" t="str">
        <f>HYPERLINK("https://otsuka-europe-crm.veevavault.com/ui/#object/sent_email__v/VBL000000019048", "SE-001402328")</f>
        <v>SE-001402328</v>
      </c>
      <c r="D322" s="4" t="s">
        <v>11</v>
      </c>
      <c r="E322" s="5">
        <v>0</v>
      </c>
      <c r="F322" s="5">
        <v>0</v>
      </c>
      <c r="G322" s="5">
        <v>0</v>
      </c>
      <c r="H322" s="4" t="s">
        <v>11</v>
      </c>
      <c r="I322" s="5">
        <v>0</v>
      </c>
      <c r="J322" s="4">
        <v>46055.358935185184</v>
      </c>
    </row>
    <row r="323" spans="1:10" x14ac:dyDescent="0.2">
      <c r="A323" s="2" t="s">
        <v>10</v>
      </c>
      <c r="B323" s="3" t="str">
        <f t="shared" si="11"/>
        <v>Email Abilify Maintena 960 mg En pratique_FR-AM2-2400045</v>
      </c>
      <c r="C323" s="3" t="str">
        <f>HYPERLINK("https://otsuka-europe-crm.veevavault.com/ui/#object/sent_email__v/VBL00000001A063", "SE-001402385")</f>
        <v>SE-001402385</v>
      </c>
      <c r="D323" s="4">
        <v>46055.671006944445</v>
      </c>
      <c r="E323" s="5">
        <v>1</v>
      </c>
      <c r="F323" s="5">
        <v>2</v>
      </c>
      <c r="G323" s="5">
        <v>0</v>
      </c>
      <c r="H323" s="4" t="s">
        <v>11</v>
      </c>
      <c r="I323" s="5">
        <v>0</v>
      </c>
      <c r="J323" s="4">
        <v>46055.665833333333</v>
      </c>
    </row>
    <row r="324" spans="1:10" x14ac:dyDescent="0.2">
      <c r="A324" s="2" t="s">
        <v>10</v>
      </c>
      <c r="B324" s="3" t="str">
        <f t="shared" si="11"/>
        <v>Email Abilify Maintena 960 mg En pratique_FR-AM2-2400045</v>
      </c>
      <c r="C324" s="3" t="str">
        <f>HYPERLINK("https://otsuka-europe-crm.veevavault.com/ui/#object/sent_email__v/VBL00000001A201", "SE-001402786")</f>
        <v>SE-001402786</v>
      </c>
      <c r="D324" s="4">
        <v>46078.353379629632</v>
      </c>
      <c r="E324" s="5">
        <v>1</v>
      </c>
      <c r="F324" s="5">
        <v>3</v>
      </c>
      <c r="G324" s="5">
        <v>0</v>
      </c>
      <c r="H324" s="4" t="s">
        <v>11</v>
      </c>
      <c r="I324" s="5">
        <v>0</v>
      </c>
      <c r="J324" s="4">
        <v>46058.571979166663</v>
      </c>
    </row>
    <row r="325" spans="1:10" x14ac:dyDescent="0.2">
      <c r="A325" s="2" t="s">
        <v>10</v>
      </c>
      <c r="B325" s="3" t="str">
        <f t="shared" ref="B325:B364" si="12">HYPERLINK("https://otsuka-europe-crm.veevavault.com/ui/#object/approved_document__v/V5O000000002002", "E-Mail de remerciements Perspectives-Septembre 2025 - Environnement - FR-CNS-2500025")</f>
        <v>E-Mail de remerciements Perspectives-Septembre 2025 - Environnement - FR-CNS-2500025</v>
      </c>
      <c r="C325" s="3" t="str">
        <f>HYPERLINK("https://otsuka-europe-crm.veevavault.com/ui/#object/sent_email__v/VBL000000005007", "SE-001379818")</f>
        <v>SE-001379818</v>
      </c>
      <c r="D325" s="4">
        <v>45961.383263888885</v>
      </c>
      <c r="E325" s="5">
        <v>1</v>
      </c>
      <c r="F325" s="5">
        <v>1</v>
      </c>
      <c r="G325" s="5">
        <v>0</v>
      </c>
      <c r="H325" s="4" t="s">
        <v>11</v>
      </c>
      <c r="I325" s="5">
        <v>0</v>
      </c>
      <c r="J325" s="4">
        <v>45961.329513888886</v>
      </c>
    </row>
    <row r="326" spans="1:10" x14ac:dyDescent="0.2">
      <c r="A326" s="2" t="s">
        <v>10</v>
      </c>
      <c r="B326" s="3" t="str">
        <f t="shared" si="12"/>
        <v>E-Mail de remerciements Perspectives-Septembre 2025 - Environnement - FR-CNS-2500025</v>
      </c>
      <c r="C326" s="3" t="str">
        <f>HYPERLINK("https://otsuka-europe-crm.veevavault.com/ui/#object/sent_email__v/VBL000000005008", "SE-001379819")</f>
        <v>SE-001379819</v>
      </c>
      <c r="D326" s="4">
        <v>45962.72047453704</v>
      </c>
      <c r="E326" s="5">
        <v>1</v>
      </c>
      <c r="F326" s="5">
        <v>3</v>
      </c>
      <c r="G326" s="5">
        <v>0</v>
      </c>
      <c r="H326" s="4" t="s">
        <v>11</v>
      </c>
      <c r="I326" s="5">
        <v>0</v>
      </c>
      <c r="J326" s="4">
        <v>45961.329826388886</v>
      </c>
    </row>
    <row r="327" spans="1:10" x14ac:dyDescent="0.2">
      <c r="A327" s="2" t="s">
        <v>10</v>
      </c>
      <c r="B327" s="3" t="str">
        <f t="shared" si="12"/>
        <v>E-Mail de remerciements Perspectives-Septembre 2025 - Environnement - FR-CNS-2500025</v>
      </c>
      <c r="C327" s="3" t="str">
        <f>HYPERLINK("https://otsuka-europe-crm.veevavault.com/ui/#object/sent_email__v/VBL000000005009", "SE-001379820")</f>
        <v>SE-001379820</v>
      </c>
      <c r="D327" s="4" t="s">
        <v>11</v>
      </c>
      <c r="E327" s="5">
        <v>0</v>
      </c>
      <c r="F327" s="5">
        <v>0</v>
      </c>
      <c r="G327" s="5">
        <v>0</v>
      </c>
      <c r="H327" s="4" t="s">
        <v>11</v>
      </c>
      <c r="I327" s="5">
        <v>0</v>
      </c>
      <c r="J327" s="4">
        <v>45961.330289351848</v>
      </c>
    </row>
    <row r="328" spans="1:10" x14ac:dyDescent="0.2">
      <c r="A328" s="2" t="s">
        <v>10</v>
      </c>
      <c r="B328" s="3" t="str">
        <f t="shared" si="12"/>
        <v>E-Mail de remerciements Perspectives-Septembre 2025 - Environnement - FR-CNS-2500025</v>
      </c>
      <c r="C328" s="3" t="str">
        <f>HYPERLINK("https://otsuka-europe-crm.veevavault.com/ui/#object/sent_email__v/VBL000000004008", "SE-001379821")</f>
        <v>SE-001379821</v>
      </c>
      <c r="D328" s="4" t="s">
        <v>11</v>
      </c>
      <c r="E328" s="5">
        <v>0</v>
      </c>
      <c r="F328" s="5">
        <v>0</v>
      </c>
      <c r="G328" s="5">
        <v>0</v>
      </c>
      <c r="H328" s="4" t="s">
        <v>11</v>
      </c>
      <c r="I328" s="5">
        <v>0</v>
      </c>
      <c r="J328" s="4">
        <v>45961.330555555556</v>
      </c>
    </row>
    <row r="329" spans="1:10" x14ac:dyDescent="0.2">
      <c r="A329" s="2" t="s">
        <v>10</v>
      </c>
      <c r="B329" s="3" t="str">
        <f t="shared" si="12"/>
        <v>E-Mail de remerciements Perspectives-Septembre 2025 - Environnement - FR-CNS-2500025</v>
      </c>
      <c r="C329" s="3" t="str">
        <f>HYPERLINK("https://otsuka-europe-crm.veevavault.com/ui/#object/sent_email__v/VBL000000005010", "SE-001379822")</f>
        <v>SE-001379822</v>
      </c>
      <c r="D329" s="4" t="s">
        <v>11</v>
      </c>
      <c r="E329" s="5">
        <v>0</v>
      </c>
      <c r="F329" s="5">
        <v>0</v>
      </c>
      <c r="G329" s="5">
        <v>0</v>
      </c>
      <c r="H329" s="4" t="s">
        <v>11</v>
      </c>
      <c r="I329" s="5">
        <v>0</v>
      </c>
      <c r="J329" s="4">
        <v>45961.33085648148</v>
      </c>
    </row>
    <row r="330" spans="1:10" x14ac:dyDescent="0.2">
      <c r="A330" s="2" t="s">
        <v>10</v>
      </c>
      <c r="B330" s="3" t="str">
        <f t="shared" si="12"/>
        <v>E-Mail de remerciements Perspectives-Septembre 2025 - Environnement - FR-CNS-2500025</v>
      </c>
      <c r="C330" s="3" t="str">
        <f>HYPERLINK("https://otsuka-europe-crm.veevavault.com/ui/#object/sent_email__v/VBL000000005011", "SE-001379823")</f>
        <v>SE-001379823</v>
      </c>
      <c r="D330" s="4">
        <v>45961.506712962961</v>
      </c>
      <c r="E330" s="5">
        <v>1</v>
      </c>
      <c r="F330" s="5">
        <v>5</v>
      </c>
      <c r="G330" s="5">
        <v>0</v>
      </c>
      <c r="H330" s="4" t="s">
        <v>11</v>
      </c>
      <c r="I330" s="5">
        <v>0</v>
      </c>
      <c r="J330" s="4">
        <v>45961.331180555557</v>
      </c>
    </row>
    <row r="331" spans="1:10" x14ac:dyDescent="0.2">
      <c r="A331" s="2" t="s">
        <v>10</v>
      </c>
      <c r="B331" s="3" t="str">
        <f t="shared" si="12"/>
        <v>E-Mail de remerciements Perspectives-Septembre 2025 - Environnement - FR-CNS-2500025</v>
      </c>
      <c r="C331" s="3" t="str">
        <f>HYPERLINK("https://otsuka-europe-crm.veevavault.com/ui/#object/sent_email__v/VBL000000008656", "SE-001381999")</f>
        <v>SE-001381999</v>
      </c>
      <c r="D331" s="4">
        <v>45968.535000000003</v>
      </c>
      <c r="E331" s="5">
        <v>1</v>
      </c>
      <c r="F331" s="5">
        <v>1</v>
      </c>
      <c r="G331" s="5">
        <v>0</v>
      </c>
      <c r="H331" s="4" t="s">
        <v>11</v>
      </c>
      <c r="I331" s="5">
        <v>0</v>
      </c>
      <c r="J331" s="4">
        <v>45968.526747685188</v>
      </c>
    </row>
    <row r="332" spans="1:10" x14ac:dyDescent="0.2">
      <c r="A332" s="2" t="s">
        <v>10</v>
      </c>
      <c r="B332" s="3" t="str">
        <f t="shared" si="12"/>
        <v>E-Mail de remerciements Perspectives-Septembre 2025 - Environnement - FR-CNS-2500025</v>
      </c>
      <c r="C332" s="3" t="str">
        <f>HYPERLINK("https://otsuka-europe-crm.veevavault.com/ui/#object/sent_email__v/VBL000000008658", "SE-001382001")</f>
        <v>SE-001382001</v>
      </c>
      <c r="D332" s="4">
        <v>45968.60361111111</v>
      </c>
      <c r="E332" s="5">
        <v>1</v>
      </c>
      <c r="F332" s="5">
        <v>6</v>
      </c>
      <c r="G332" s="5">
        <v>0</v>
      </c>
      <c r="H332" s="4" t="s">
        <v>11</v>
      </c>
      <c r="I332" s="5">
        <v>0</v>
      </c>
      <c r="J332" s="4">
        <v>45968.527280092596</v>
      </c>
    </row>
    <row r="333" spans="1:10" x14ac:dyDescent="0.2">
      <c r="A333" s="2" t="s">
        <v>10</v>
      </c>
      <c r="B333" s="3" t="str">
        <f t="shared" si="12"/>
        <v>E-Mail de remerciements Perspectives-Septembre 2025 - Environnement - FR-CNS-2500025</v>
      </c>
      <c r="C333" s="3" t="str">
        <f>HYPERLINK("https://otsuka-europe-crm.veevavault.com/ui/#object/sent_email__v/VBL000000008660", "SE-001382003")</f>
        <v>SE-001382003</v>
      </c>
      <c r="D333" s="4" t="s">
        <v>11</v>
      </c>
      <c r="E333" s="5">
        <v>0</v>
      </c>
      <c r="F333" s="5">
        <v>0</v>
      </c>
      <c r="G333" s="5">
        <v>0</v>
      </c>
      <c r="H333" s="4" t="s">
        <v>11</v>
      </c>
      <c r="I333" s="5">
        <v>0</v>
      </c>
      <c r="J333" s="4">
        <v>45968.527511574073</v>
      </c>
    </row>
    <row r="334" spans="1:10" x14ac:dyDescent="0.2">
      <c r="A334" s="2" t="s">
        <v>10</v>
      </c>
      <c r="B334" s="3" t="str">
        <f t="shared" si="12"/>
        <v>E-Mail de remerciements Perspectives-Septembre 2025 - Environnement - FR-CNS-2500025</v>
      </c>
      <c r="C334" s="3" t="str">
        <f>HYPERLINK("https://otsuka-europe-crm.veevavault.com/ui/#object/sent_email__v/VBL000000008661", "SE-001382004")</f>
        <v>SE-001382004</v>
      </c>
      <c r="D334" s="4" t="s">
        <v>11</v>
      </c>
      <c r="E334" s="5">
        <v>0</v>
      </c>
      <c r="F334" s="5">
        <v>0</v>
      </c>
      <c r="G334" s="5">
        <v>0</v>
      </c>
      <c r="H334" s="4" t="s">
        <v>11</v>
      </c>
      <c r="I334" s="5">
        <v>0</v>
      </c>
      <c r="J334" s="4">
        <v>45968.527800925927</v>
      </c>
    </row>
    <row r="335" spans="1:10" x14ac:dyDescent="0.2">
      <c r="A335" s="2" t="s">
        <v>10</v>
      </c>
      <c r="B335" s="3" t="str">
        <f t="shared" si="12"/>
        <v>E-Mail de remerciements Perspectives-Septembre 2025 - Environnement - FR-CNS-2500025</v>
      </c>
      <c r="C335" s="3" t="str">
        <f>HYPERLINK("https://otsuka-europe-crm.veevavault.com/ui/#object/sent_email__v/VBL00000000R279", "SE-001391905")</f>
        <v>SE-001391905</v>
      </c>
      <c r="D335" s="4" t="s">
        <v>11</v>
      </c>
      <c r="E335" s="5">
        <v>0</v>
      </c>
      <c r="F335" s="5">
        <v>0</v>
      </c>
      <c r="G335" s="5">
        <v>0</v>
      </c>
      <c r="H335" s="4" t="s">
        <v>11</v>
      </c>
      <c r="I335" s="5">
        <v>0</v>
      </c>
      <c r="J335" s="4">
        <v>45986.645601851851</v>
      </c>
    </row>
    <row r="336" spans="1:10" x14ac:dyDescent="0.2">
      <c r="A336" s="2" t="s">
        <v>10</v>
      </c>
      <c r="B336" s="3" t="str">
        <f t="shared" si="12"/>
        <v>E-Mail de remerciements Perspectives-Septembre 2025 - Environnement - FR-CNS-2500025</v>
      </c>
      <c r="C336" s="3" t="str">
        <f>HYPERLINK("https://otsuka-europe-crm.veevavault.com/ui/#object/sent_email__v/VBL00000000U779", "SE-001395384")</f>
        <v>SE-001395384</v>
      </c>
      <c r="D336" s="4" t="s">
        <v>11</v>
      </c>
      <c r="E336" s="5">
        <v>0</v>
      </c>
      <c r="F336" s="5">
        <v>0</v>
      </c>
      <c r="G336" s="5">
        <v>0</v>
      </c>
      <c r="H336" s="4" t="s">
        <v>11</v>
      </c>
      <c r="I336" s="5">
        <v>0</v>
      </c>
      <c r="J336" s="4">
        <v>45995.466643518521</v>
      </c>
    </row>
    <row r="337" spans="1:10" x14ac:dyDescent="0.2">
      <c r="A337" s="2" t="s">
        <v>10</v>
      </c>
      <c r="B337" s="3" t="str">
        <f t="shared" si="12"/>
        <v>E-Mail de remerciements Perspectives-Septembre 2025 - Environnement - FR-CNS-2500025</v>
      </c>
      <c r="C337" s="3" t="str">
        <f>HYPERLINK("https://otsuka-europe-crm.veevavault.com/ui/#object/sent_email__v/VBL00000000V238", "SE-001395386")</f>
        <v>SE-001395386</v>
      </c>
      <c r="D337" s="4">
        <v>45996.38958333333</v>
      </c>
      <c r="E337" s="5">
        <v>1</v>
      </c>
      <c r="F337" s="5">
        <v>2</v>
      </c>
      <c r="G337" s="5">
        <v>0</v>
      </c>
      <c r="H337" s="4" t="s">
        <v>11</v>
      </c>
      <c r="I337" s="5">
        <v>0</v>
      </c>
      <c r="J337" s="4">
        <v>45995.466689814813</v>
      </c>
    </row>
    <row r="338" spans="1:10" x14ac:dyDescent="0.2">
      <c r="A338" s="2" t="s">
        <v>10</v>
      </c>
      <c r="B338" s="3" t="str">
        <f t="shared" si="12"/>
        <v>E-Mail de remerciements Perspectives-Septembre 2025 - Environnement - FR-CNS-2500025</v>
      </c>
      <c r="C338" s="3" t="str">
        <f>HYPERLINK("https://otsuka-europe-crm.veevavault.com/ui/#object/sent_email__v/VBL00000000V239", "SE-001395387")</f>
        <v>SE-001395387</v>
      </c>
      <c r="D338" s="4">
        <v>45995.916504629633</v>
      </c>
      <c r="E338" s="5">
        <v>1</v>
      </c>
      <c r="F338" s="5">
        <v>1</v>
      </c>
      <c r="G338" s="5">
        <v>1</v>
      </c>
      <c r="H338" s="4">
        <v>45995.916956018518</v>
      </c>
      <c r="I338" s="5">
        <v>1</v>
      </c>
      <c r="J338" s="4">
        <v>45995.466828703706</v>
      </c>
    </row>
    <row r="339" spans="1:10" x14ac:dyDescent="0.2">
      <c r="A339" s="2" t="s">
        <v>10</v>
      </c>
      <c r="B339" s="3" t="str">
        <f t="shared" si="12"/>
        <v>E-Mail de remerciements Perspectives-Septembre 2025 - Environnement - FR-CNS-2500025</v>
      </c>
      <c r="C339" s="3" t="str">
        <f>HYPERLINK("https://otsuka-europe-crm.veevavault.com/ui/#object/sent_email__v/VBL00000000V241", "SE-001395389")</f>
        <v>SE-001395389</v>
      </c>
      <c r="D339" s="4" t="s">
        <v>11</v>
      </c>
      <c r="E339" s="5">
        <v>0</v>
      </c>
      <c r="F339" s="5">
        <v>0</v>
      </c>
      <c r="G339" s="5">
        <v>0</v>
      </c>
      <c r="H339" s="4" t="s">
        <v>11</v>
      </c>
      <c r="I339" s="5">
        <v>0</v>
      </c>
      <c r="J339" s="4">
        <v>45995.466909722221</v>
      </c>
    </row>
    <row r="340" spans="1:10" x14ac:dyDescent="0.2">
      <c r="A340" s="2" t="s">
        <v>10</v>
      </c>
      <c r="B340" s="3" t="str">
        <f t="shared" si="12"/>
        <v>E-Mail de remerciements Perspectives-Septembre 2025 - Environnement - FR-CNS-2500025</v>
      </c>
      <c r="C340" s="3" t="str">
        <f>HYPERLINK("https://otsuka-europe-crm.veevavault.com/ui/#object/sent_email__v/VBL00000000W227", "SE-001395993")</f>
        <v>SE-001395993</v>
      </c>
      <c r="D340" s="4">
        <v>46000.662685185183</v>
      </c>
      <c r="E340" s="5">
        <v>1</v>
      </c>
      <c r="F340" s="5">
        <v>1</v>
      </c>
      <c r="G340" s="5">
        <v>0</v>
      </c>
      <c r="H340" s="4" t="s">
        <v>11</v>
      </c>
      <c r="I340" s="5">
        <v>0</v>
      </c>
      <c r="J340" s="4">
        <v>46000.659861111111</v>
      </c>
    </row>
    <row r="341" spans="1:10" x14ac:dyDescent="0.2">
      <c r="A341" s="2" t="s">
        <v>10</v>
      </c>
      <c r="B341" s="3" t="str">
        <f t="shared" si="12"/>
        <v>E-Mail de remerciements Perspectives-Septembre 2025 - Environnement - FR-CNS-2500025</v>
      </c>
      <c r="C341" s="3" t="str">
        <f>HYPERLINK("https://otsuka-europe-crm.veevavault.com/ui/#object/sent_email__v/VBL00000000W228", "SE-001395994")</f>
        <v>SE-001395994</v>
      </c>
      <c r="D341" s="4" t="s">
        <v>11</v>
      </c>
      <c r="E341" s="5">
        <v>0</v>
      </c>
      <c r="F341" s="5">
        <v>0</v>
      </c>
      <c r="G341" s="5">
        <v>0</v>
      </c>
      <c r="H341" s="4" t="s">
        <v>11</v>
      </c>
      <c r="I341" s="5">
        <v>0</v>
      </c>
      <c r="J341" s="4">
        <v>46000.660671296297</v>
      </c>
    </row>
    <row r="342" spans="1:10" x14ac:dyDescent="0.2">
      <c r="A342" s="2" t="s">
        <v>10</v>
      </c>
      <c r="B342" s="3" t="str">
        <f t="shared" si="12"/>
        <v>E-Mail de remerciements Perspectives-Septembre 2025 - Environnement - FR-CNS-2500025</v>
      </c>
      <c r="C342" s="3" t="str">
        <f>HYPERLINK("https://otsuka-europe-crm.veevavault.com/ui/#object/sent_email__v/VBL00000000W229", "SE-001395995")</f>
        <v>SE-001395995</v>
      </c>
      <c r="D342" s="4" t="s">
        <v>11</v>
      </c>
      <c r="E342" s="5">
        <v>0</v>
      </c>
      <c r="F342" s="5">
        <v>0</v>
      </c>
      <c r="G342" s="5">
        <v>0</v>
      </c>
      <c r="H342" s="4" t="s">
        <v>11</v>
      </c>
      <c r="I342" s="5">
        <v>0</v>
      </c>
      <c r="J342" s="4">
        <v>46000.660752314812</v>
      </c>
    </row>
    <row r="343" spans="1:10" x14ac:dyDescent="0.2">
      <c r="A343" s="2" t="s">
        <v>10</v>
      </c>
      <c r="B343" s="3" t="str">
        <f t="shared" si="12"/>
        <v>E-Mail de remerciements Perspectives-Septembre 2025 - Environnement - FR-CNS-2500025</v>
      </c>
      <c r="C343" s="3" t="str">
        <f>HYPERLINK("https://otsuka-europe-crm.veevavault.com/ui/#object/sent_email__v/VBL00000000X316", "SE-001396051")</f>
        <v>SE-001396051</v>
      </c>
      <c r="D343" s="4" t="s">
        <v>11</v>
      </c>
      <c r="E343" s="5">
        <v>0</v>
      </c>
      <c r="F343" s="5">
        <v>0</v>
      </c>
      <c r="G343" s="5">
        <v>0</v>
      </c>
      <c r="H343" s="4" t="s">
        <v>11</v>
      </c>
      <c r="I343" s="5">
        <v>0</v>
      </c>
      <c r="J343" s="4">
        <v>46000.732465277775</v>
      </c>
    </row>
    <row r="344" spans="1:10" x14ac:dyDescent="0.2">
      <c r="A344" s="2" t="s">
        <v>10</v>
      </c>
      <c r="B344" s="3" t="str">
        <f t="shared" si="12"/>
        <v>E-Mail de remerciements Perspectives-Septembre 2025 - Environnement - FR-CNS-2500025</v>
      </c>
      <c r="C344" s="3" t="str">
        <f>HYPERLINK("https://otsuka-europe-crm.veevavault.com/ui/#object/sent_email__v/VBL00000000X317", "SE-001396052")</f>
        <v>SE-001396052</v>
      </c>
      <c r="D344" s="4" t="s">
        <v>11</v>
      </c>
      <c r="E344" s="5">
        <v>0</v>
      </c>
      <c r="F344" s="5">
        <v>0</v>
      </c>
      <c r="G344" s="5">
        <v>0</v>
      </c>
      <c r="H344" s="4" t="s">
        <v>11</v>
      </c>
      <c r="I344" s="5">
        <v>0</v>
      </c>
      <c r="J344" s="4">
        <v>46000.733090277776</v>
      </c>
    </row>
    <row r="345" spans="1:10" x14ac:dyDescent="0.2">
      <c r="A345" s="2" t="s">
        <v>10</v>
      </c>
      <c r="B345" s="3" t="str">
        <f t="shared" si="12"/>
        <v>E-Mail de remerciements Perspectives-Septembre 2025 - Environnement - FR-CNS-2500025</v>
      </c>
      <c r="C345" s="3" t="str">
        <f>HYPERLINK("https://otsuka-europe-crm.veevavault.com/ui/#object/sent_email__v/VBL00000000X318", "SE-001396053")</f>
        <v>SE-001396053</v>
      </c>
      <c r="D345" s="4" t="s">
        <v>11</v>
      </c>
      <c r="E345" s="5">
        <v>0</v>
      </c>
      <c r="F345" s="5">
        <v>0</v>
      </c>
      <c r="G345" s="5">
        <v>0</v>
      </c>
      <c r="H345" s="4" t="s">
        <v>11</v>
      </c>
      <c r="I345" s="5">
        <v>0</v>
      </c>
      <c r="J345" s="4">
        <v>46000.733668981484</v>
      </c>
    </row>
    <row r="346" spans="1:10" x14ac:dyDescent="0.2">
      <c r="A346" s="2" t="s">
        <v>10</v>
      </c>
      <c r="B346" s="3" t="str">
        <f t="shared" si="12"/>
        <v>E-Mail de remerciements Perspectives-Septembre 2025 - Environnement - FR-CNS-2500025</v>
      </c>
      <c r="C346" s="3" t="str">
        <f>HYPERLINK("https://otsuka-europe-crm.veevavault.com/ui/#object/sent_email__v/VBL000000011107", "SE-001396776")</f>
        <v>SE-001396776</v>
      </c>
      <c r="D346" s="4" t="s">
        <v>11</v>
      </c>
      <c r="E346" s="5">
        <v>0</v>
      </c>
      <c r="F346" s="5">
        <v>0</v>
      </c>
      <c r="G346" s="5">
        <v>0</v>
      </c>
      <c r="H346" s="4" t="s">
        <v>11</v>
      </c>
      <c r="I346" s="5">
        <v>0</v>
      </c>
      <c r="J346" s="4">
        <v>46006.666527777779</v>
      </c>
    </row>
    <row r="347" spans="1:10" x14ac:dyDescent="0.2">
      <c r="A347" s="2" t="s">
        <v>10</v>
      </c>
      <c r="B347" s="3" t="str">
        <f t="shared" si="12"/>
        <v>E-Mail de remerciements Perspectives-Septembre 2025 - Environnement - FR-CNS-2500025</v>
      </c>
      <c r="C347" s="3" t="str">
        <f>HYPERLINK("https://otsuka-europe-crm.veevavault.com/ui/#object/sent_email__v/VBL000000011111", "SE-001396780")</f>
        <v>SE-001396780</v>
      </c>
      <c r="D347" s="4" t="s">
        <v>11</v>
      </c>
      <c r="E347" s="5">
        <v>0</v>
      </c>
      <c r="F347" s="5">
        <v>0</v>
      </c>
      <c r="G347" s="5">
        <v>0</v>
      </c>
      <c r="H347" s="4" t="s">
        <v>11</v>
      </c>
      <c r="I347" s="5">
        <v>0</v>
      </c>
      <c r="J347" s="4">
        <v>46006.670543981483</v>
      </c>
    </row>
    <row r="348" spans="1:10" x14ac:dyDescent="0.2">
      <c r="A348" s="2" t="s">
        <v>10</v>
      </c>
      <c r="B348" s="3" t="str">
        <f t="shared" si="12"/>
        <v>E-Mail de remerciements Perspectives-Septembre 2025 - Environnement - FR-CNS-2500025</v>
      </c>
      <c r="C348" s="3" t="str">
        <f>HYPERLINK("https://otsuka-europe-crm.veevavault.com/ui/#object/sent_email__v/VBL000000011112", "SE-001396781")</f>
        <v>SE-001396781</v>
      </c>
      <c r="D348" s="4" t="s">
        <v>11</v>
      </c>
      <c r="E348" s="5">
        <v>0</v>
      </c>
      <c r="F348" s="5">
        <v>0</v>
      </c>
      <c r="G348" s="5">
        <v>0</v>
      </c>
      <c r="H348" s="4" t="s">
        <v>11</v>
      </c>
      <c r="I348" s="5">
        <v>0</v>
      </c>
      <c r="J348" s="4">
        <v>46006.671087962961</v>
      </c>
    </row>
    <row r="349" spans="1:10" x14ac:dyDescent="0.2">
      <c r="A349" s="2" t="s">
        <v>10</v>
      </c>
      <c r="B349" s="3" t="str">
        <f t="shared" si="12"/>
        <v>E-Mail de remerciements Perspectives-Septembre 2025 - Environnement - FR-CNS-2500025</v>
      </c>
      <c r="C349" s="3" t="str">
        <f>HYPERLINK("https://otsuka-europe-crm.veevavault.com/ui/#object/sent_email__v/VBL000000011113", "SE-001396782")</f>
        <v>SE-001396782</v>
      </c>
      <c r="D349" s="4">
        <v>46007.086817129632</v>
      </c>
      <c r="E349" s="5">
        <v>1</v>
      </c>
      <c r="F349" s="5">
        <v>1</v>
      </c>
      <c r="G349" s="5">
        <v>1</v>
      </c>
      <c r="H349" s="4">
        <v>46007.086817129632</v>
      </c>
      <c r="I349" s="5">
        <v>1</v>
      </c>
      <c r="J349" s="4">
        <v>46006.671493055554</v>
      </c>
    </row>
    <row r="350" spans="1:10" x14ac:dyDescent="0.2">
      <c r="A350" s="2" t="s">
        <v>10</v>
      </c>
      <c r="B350" s="3" t="str">
        <f t="shared" si="12"/>
        <v>E-Mail de remerciements Perspectives-Septembre 2025 - Environnement - FR-CNS-2500025</v>
      </c>
      <c r="C350" s="3" t="str">
        <f>HYPERLINK("https://otsuka-europe-crm.veevavault.com/ui/#object/sent_email__v/VBL000000010074", "SE-001396783")</f>
        <v>SE-001396783</v>
      </c>
      <c r="D350" s="4" t="s">
        <v>11</v>
      </c>
      <c r="E350" s="5">
        <v>0</v>
      </c>
      <c r="F350" s="5">
        <v>0</v>
      </c>
      <c r="G350" s="5">
        <v>0</v>
      </c>
      <c r="H350" s="4" t="s">
        <v>11</v>
      </c>
      <c r="I350" s="5">
        <v>0</v>
      </c>
      <c r="J350" s="4">
        <v>46006.671932870369</v>
      </c>
    </row>
    <row r="351" spans="1:10" x14ac:dyDescent="0.2">
      <c r="A351" s="2" t="s">
        <v>10</v>
      </c>
      <c r="B351" s="3" t="str">
        <f t="shared" si="12"/>
        <v>E-Mail de remerciements Perspectives-Septembre 2025 - Environnement - FR-CNS-2500025</v>
      </c>
      <c r="C351" s="3" t="str">
        <f>HYPERLINK("https://otsuka-europe-crm.veevavault.com/ui/#object/sent_email__v/VBL000000011114", "SE-001396784")</f>
        <v>SE-001396784</v>
      </c>
      <c r="D351" s="4" t="s">
        <v>11</v>
      </c>
      <c r="E351" s="5">
        <v>0</v>
      </c>
      <c r="F351" s="5">
        <v>0</v>
      </c>
      <c r="G351" s="5">
        <v>0</v>
      </c>
      <c r="H351" s="4" t="s">
        <v>11</v>
      </c>
      <c r="I351" s="5">
        <v>0</v>
      </c>
      <c r="J351" s="4">
        <v>46006.672233796293</v>
      </c>
    </row>
    <row r="352" spans="1:10" x14ac:dyDescent="0.2">
      <c r="A352" s="2" t="s">
        <v>10</v>
      </c>
      <c r="B352" s="3" t="str">
        <f t="shared" si="12"/>
        <v>E-Mail de remerciements Perspectives-Septembre 2025 - Environnement - FR-CNS-2500025</v>
      </c>
      <c r="C352" s="3" t="str">
        <f>HYPERLINK("https://otsuka-europe-crm.veevavault.com/ui/#object/sent_email__v/VBL000000010075", "SE-001396785")</f>
        <v>SE-001396785</v>
      </c>
      <c r="D352" s="4">
        <v>46016.778043981481</v>
      </c>
      <c r="E352" s="5">
        <v>1</v>
      </c>
      <c r="F352" s="5">
        <v>11</v>
      </c>
      <c r="G352" s="5">
        <v>1</v>
      </c>
      <c r="H352" s="4">
        <v>46016.778275462966</v>
      </c>
      <c r="I352" s="5">
        <v>1</v>
      </c>
      <c r="J352" s="4">
        <v>46006.67260416667</v>
      </c>
    </row>
    <row r="353" spans="1:10" x14ac:dyDescent="0.2">
      <c r="A353" s="2" t="s">
        <v>10</v>
      </c>
      <c r="B353" s="3" t="str">
        <f t="shared" si="12"/>
        <v>E-Mail de remerciements Perspectives-Septembre 2025 - Environnement - FR-CNS-2500025</v>
      </c>
      <c r="C353" s="3" t="str">
        <f>HYPERLINK("https://otsuka-europe-crm.veevavault.com/ui/#object/sent_email__v/VBL000000011738", "SE-001397563")</f>
        <v>SE-001397563</v>
      </c>
      <c r="D353" s="4">
        <v>46033.735347222224</v>
      </c>
      <c r="E353" s="5">
        <v>1</v>
      </c>
      <c r="F353" s="5">
        <v>2</v>
      </c>
      <c r="G353" s="5">
        <v>0</v>
      </c>
      <c r="H353" s="4" t="s">
        <v>11</v>
      </c>
      <c r="I353" s="5">
        <v>0</v>
      </c>
      <c r="J353" s="4">
        <v>46009.481932870367</v>
      </c>
    </row>
    <row r="354" spans="1:10" x14ac:dyDescent="0.2">
      <c r="A354" s="2" t="s">
        <v>10</v>
      </c>
      <c r="B354" s="3" t="str">
        <f t="shared" si="12"/>
        <v>E-Mail de remerciements Perspectives-Septembre 2025 - Environnement - FR-CNS-2500025</v>
      </c>
      <c r="C354" s="3" t="str">
        <f>HYPERLINK("https://otsuka-europe-crm.veevavault.com/ui/#object/sent_email__v/VBL000000011739", "SE-001397564")</f>
        <v>SE-001397564</v>
      </c>
      <c r="D354" s="4" t="s">
        <v>11</v>
      </c>
      <c r="E354" s="5">
        <v>0</v>
      </c>
      <c r="F354" s="5">
        <v>0</v>
      </c>
      <c r="G354" s="5">
        <v>0</v>
      </c>
      <c r="H354" s="4" t="s">
        <v>11</v>
      </c>
      <c r="I354" s="5">
        <v>0</v>
      </c>
      <c r="J354" s="4">
        <v>46009.481817129628</v>
      </c>
    </row>
    <row r="355" spans="1:10" x14ac:dyDescent="0.2">
      <c r="A355" s="2" t="s">
        <v>10</v>
      </c>
      <c r="B355" s="3" t="str">
        <f t="shared" si="12"/>
        <v>E-Mail de remerciements Perspectives-Septembre 2025 - Environnement - FR-CNS-2500025</v>
      </c>
      <c r="C355" s="3" t="str">
        <f>HYPERLINK("https://otsuka-europe-crm.veevavault.com/ui/#object/sent_email__v/VBL000000011740", "SE-001397565")</f>
        <v>SE-001397565</v>
      </c>
      <c r="D355" s="4" t="s">
        <v>11</v>
      </c>
      <c r="E355" s="5">
        <v>0</v>
      </c>
      <c r="F355" s="5">
        <v>0</v>
      </c>
      <c r="G355" s="5">
        <v>0</v>
      </c>
      <c r="H355" s="4" t="s">
        <v>11</v>
      </c>
      <c r="I355" s="5">
        <v>0</v>
      </c>
      <c r="J355" s="4">
        <v>46009.482303240744</v>
      </c>
    </row>
    <row r="356" spans="1:10" x14ac:dyDescent="0.2">
      <c r="A356" s="2" t="s">
        <v>10</v>
      </c>
      <c r="B356" s="3" t="str">
        <f t="shared" si="12"/>
        <v>E-Mail de remerciements Perspectives-Septembre 2025 - Environnement - FR-CNS-2500025</v>
      </c>
      <c r="C356" s="3" t="str">
        <f>HYPERLINK("https://otsuka-europe-crm.veevavault.com/ui/#object/sent_email__v/VBL000000011741", "SE-001397566")</f>
        <v>SE-001397566</v>
      </c>
      <c r="D356" s="4" t="s">
        <v>11</v>
      </c>
      <c r="E356" s="5">
        <v>0</v>
      </c>
      <c r="F356" s="5">
        <v>0</v>
      </c>
      <c r="G356" s="5">
        <v>0</v>
      </c>
      <c r="H356" s="4" t="s">
        <v>11</v>
      </c>
      <c r="I356" s="5">
        <v>0</v>
      </c>
      <c r="J356" s="4">
        <v>46009.482638888891</v>
      </c>
    </row>
    <row r="357" spans="1:10" x14ac:dyDescent="0.2">
      <c r="A357" s="2" t="s">
        <v>10</v>
      </c>
      <c r="B357" s="3" t="str">
        <f t="shared" si="12"/>
        <v>E-Mail de remerciements Perspectives-Septembre 2025 - Environnement - FR-CNS-2500025</v>
      </c>
      <c r="C357" s="3" t="str">
        <f>HYPERLINK("https://otsuka-europe-crm.veevavault.com/ui/#object/sent_email__v/VBL000000011742", "SE-001397567")</f>
        <v>SE-001397567</v>
      </c>
      <c r="D357" s="4" t="s">
        <v>11</v>
      </c>
      <c r="E357" s="5">
        <v>0</v>
      </c>
      <c r="F357" s="5">
        <v>0</v>
      </c>
      <c r="G357" s="5">
        <v>0</v>
      </c>
      <c r="H357" s="4" t="s">
        <v>11</v>
      </c>
      <c r="I357" s="5">
        <v>0</v>
      </c>
      <c r="J357" s="4">
        <v>46009.482916666668</v>
      </c>
    </row>
    <row r="358" spans="1:10" x14ac:dyDescent="0.2">
      <c r="A358" s="2" t="s">
        <v>10</v>
      </c>
      <c r="B358" s="3" t="str">
        <f t="shared" si="12"/>
        <v>E-Mail de remerciements Perspectives-Septembre 2025 - Environnement - FR-CNS-2500025</v>
      </c>
      <c r="C358" s="3" t="str">
        <f>HYPERLINK("https://otsuka-europe-crm.veevavault.com/ui/#object/sent_email__v/VBL000000011743", "SE-001397568")</f>
        <v>SE-001397568</v>
      </c>
      <c r="D358" s="4">
        <v>46051.723541666666</v>
      </c>
      <c r="E358" s="5">
        <v>1</v>
      </c>
      <c r="F358" s="5">
        <v>2</v>
      </c>
      <c r="G358" s="5">
        <v>0</v>
      </c>
      <c r="H358" s="4" t="s">
        <v>11</v>
      </c>
      <c r="I358" s="5">
        <v>0</v>
      </c>
      <c r="J358" s="4">
        <v>46009.483229166668</v>
      </c>
    </row>
    <row r="359" spans="1:10" x14ac:dyDescent="0.2">
      <c r="A359" s="2" t="s">
        <v>10</v>
      </c>
      <c r="B359" s="3" t="str">
        <f t="shared" si="12"/>
        <v>E-Mail de remerciements Perspectives-Septembre 2025 - Environnement - FR-CNS-2500025</v>
      </c>
      <c r="C359" s="3" t="str">
        <f>HYPERLINK("https://otsuka-europe-crm.veevavault.com/ui/#object/sent_email__v/VBL000000011744", "SE-001397569")</f>
        <v>SE-001397569</v>
      </c>
      <c r="D359" s="4">
        <v>46010.387928240743</v>
      </c>
      <c r="E359" s="5">
        <v>1</v>
      </c>
      <c r="F359" s="5">
        <v>1</v>
      </c>
      <c r="G359" s="5">
        <v>1</v>
      </c>
      <c r="H359" s="4">
        <v>46010.388298611113</v>
      </c>
      <c r="I359" s="5">
        <v>2</v>
      </c>
      <c r="J359" s="4">
        <v>46009.483541666668</v>
      </c>
    </row>
    <row r="360" spans="1:10" x14ac:dyDescent="0.2">
      <c r="A360" s="2" t="s">
        <v>10</v>
      </c>
      <c r="B360" s="3" t="str">
        <f t="shared" si="12"/>
        <v>E-Mail de remerciements Perspectives-Septembre 2025 - Environnement - FR-CNS-2500025</v>
      </c>
      <c r="C360" s="3" t="str">
        <f>HYPERLINK("https://otsuka-europe-crm.veevavault.com/ui/#object/sent_email__v/VBL000000011745", "SE-001397570")</f>
        <v>SE-001397570</v>
      </c>
      <c r="D360" s="4" t="s">
        <v>11</v>
      </c>
      <c r="E360" s="5">
        <v>0</v>
      </c>
      <c r="F360" s="5">
        <v>0</v>
      </c>
      <c r="G360" s="5">
        <v>0</v>
      </c>
      <c r="H360" s="4" t="s">
        <v>11</v>
      </c>
      <c r="I360" s="5">
        <v>0</v>
      </c>
      <c r="J360" s="4">
        <v>46009.483888888892</v>
      </c>
    </row>
    <row r="361" spans="1:10" x14ac:dyDescent="0.2">
      <c r="A361" s="2" t="s">
        <v>10</v>
      </c>
      <c r="B361" s="3" t="str">
        <f t="shared" si="12"/>
        <v>E-Mail de remerciements Perspectives-Septembre 2025 - Environnement - FR-CNS-2500025</v>
      </c>
      <c r="C361" s="3" t="str">
        <f>HYPERLINK("https://otsuka-europe-crm.veevavault.com/ui/#object/sent_email__v/VBL000000012939", "SE-001399893")</f>
        <v>SE-001399893</v>
      </c>
      <c r="D361" s="4">
        <v>46041.774548611109</v>
      </c>
      <c r="E361" s="5">
        <v>1</v>
      </c>
      <c r="F361" s="5">
        <v>5</v>
      </c>
      <c r="G361" s="5">
        <v>0</v>
      </c>
      <c r="H361" s="4" t="s">
        <v>11</v>
      </c>
      <c r="I361" s="5">
        <v>0</v>
      </c>
      <c r="J361" s="4">
        <v>46037.39329861111</v>
      </c>
    </row>
    <row r="362" spans="1:10" x14ac:dyDescent="0.2">
      <c r="A362" s="2" t="s">
        <v>10</v>
      </c>
      <c r="B362" s="3" t="str">
        <f t="shared" si="12"/>
        <v>E-Mail de remerciements Perspectives-Septembre 2025 - Environnement - FR-CNS-2500025</v>
      </c>
      <c r="C362" s="3" t="str">
        <f>HYPERLINK("https://otsuka-europe-crm.veevavault.com/ui/#object/sent_email__v/VBL000000012958", "SE-001399942")</f>
        <v>SE-001399942</v>
      </c>
      <c r="D362" s="4">
        <v>46037.576828703706</v>
      </c>
      <c r="E362" s="5">
        <v>1</v>
      </c>
      <c r="F362" s="5">
        <v>1</v>
      </c>
      <c r="G362" s="5">
        <v>0</v>
      </c>
      <c r="H362" s="4" t="s">
        <v>11</v>
      </c>
      <c r="I362" s="5">
        <v>0</v>
      </c>
      <c r="J362" s="4">
        <v>46037.576527777775</v>
      </c>
    </row>
    <row r="363" spans="1:10" x14ac:dyDescent="0.2">
      <c r="A363" s="2" t="s">
        <v>10</v>
      </c>
      <c r="B363" s="3" t="str">
        <f t="shared" si="12"/>
        <v>E-Mail de remerciements Perspectives-Septembre 2025 - Environnement - FR-CNS-2500025</v>
      </c>
      <c r="C363" s="3" t="str">
        <f>HYPERLINK("https://otsuka-europe-crm.veevavault.com/ui/#object/sent_email__v/VBL000000016049", "SE-001400095")</f>
        <v>SE-001400095</v>
      </c>
      <c r="D363" s="4">
        <v>46038.475937499999</v>
      </c>
      <c r="E363" s="5">
        <v>1</v>
      </c>
      <c r="F363" s="5">
        <v>3</v>
      </c>
      <c r="G363" s="5">
        <v>0</v>
      </c>
      <c r="H363" s="4" t="s">
        <v>11</v>
      </c>
      <c r="I363" s="5">
        <v>0</v>
      </c>
      <c r="J363" s="4">
        <v>46038.445023148146</v>
      </c>
    </row>
    <row r="364" spans="1:10" x14ac:dyDescent="0.2">
      <c r="A364" s="2" t="s">
        <v>10</v>
      </c>
      <c r="B364" s="3" t="str">
        <f t="shared" si="12"/>
        <v>E-Mail de remerciements Perspectives-Septembre 2025 - Environnement - FR-CNS-2500025</v>
      </c>
      <c r="C364" s="3" t="str">
        <f>HYPERLINK("https://otsuka-europe-crm.veevavault.com/ui/#object/sent_email__v/VBL00000001C496", "SE-001403939")</f>
        <v>SE-001403939</v>
      </c>
      <c r="D364" s="4" t="s">
        <v>11</v>
      </c>
      <c r="E364" s="5">
        <v>0</v>
      </c>
      <c r="F364" s="5">
        <v>0</v>
      </c>
      <c r="G364" s="5">
        <v>0</v>
      </c>
      <c r="H364" s="4" t="s">
        <v>11</v>
      </c>
      <c r="I364" s="5">
        <v>0</v>
      </c>
      <c r="J364" s="4">
        <v>46065.562349537038</v>
      </c>
    </row>
    <row r="365" spans="1:10" x14ac:dyDescent="0.2">
      <c r="A365" s="2" t="s">
        <v>10</v>
      </c>
      <c r="B365" s="3" t="str">
        <f t="shared" ref="B365:B428" si="13">HYPERLINK("https://otsuka-europe-crm.veevavault.com/ui/#object/approved_document__v/V5OZ025E82N8159", "Email instauration Abilify Maintena 960 mg_FR-AM2-2400029")</f>
        <v>Email instauration Abilify Maintena 960 mg_FR-AM2-2400029</v>
      </c>
      <c r="C365" s="3" t="str">
        <f>HYPERLINK("https://otsuka-europe-crm.veevavault.com/ui/#object/sent_email__v/VBLZ025E82GBOY2", "SE-000254916")</f>
        <v>SE-000254916</v>
      </c>
      <c r="D365" s="4">
        <v>45902.680335648147</v>
      </c>
      <c r="E365" s="5">
        <v>1</v>
      </c>
      <c r="F365" s="5">
        <v>2</v>
      </c>
      <c r="G365" s="5">
        <v>0</v>
      </c>
      <c r="H365" s="4" t="s">
        <v>11</v>
      </c>
      <c r="I365" s="5">
        <v>0</v>
      </c>
      <c r="J365" s="4">
        <v>45901.476226851853</v>
      </c>
    </row>
    <row r="366" spans="1:10" x14ac:dyDescent="0.2">
      <c r="A366" s="2" t="s">
        <v>10</v>
      </c>
      <c r="B366" s="3" t="str">
        <f t="shared" si="13"/>
        <v>Email instauration Abilify Maintena 960 mg_FR-AM2-2400029</v>
      </c>
      <c r="C366" s="3" t="str">
        <f>HYPERLINK("https://otsuka-europe-crm.veevavault.com/ui/#object/sent_email__v/VBLZ025E82GCAML", "SE-000254928")</f>
        <v>SE-000254928</v>
      </c>
      <c r="D366" s="4">
        <v>45901.71020833333</v>
      </c>
      <c r="E366" s="5">
        <v>1</v>
      </c>
      <c r="F366" s="5">
        <v>2</v>
      </c>
      <c r="G366" s="5">
        <v>0</v>
      </c>
      <c r="H366" s="4" t="s">
        <v>11</v>
      </c>
      <c r="I366" s="5">
        <v>0</v>
      </c>
      <c r="J366" s="4">
        <v>45901.676238425927</v>
      </c>
    </row>
    <row r="367" spans="1:10" x14ac:dyDescent="0.2">
      <c r="A367" s="2" t="s">
        <v>10</v>
      </c>
      <c r="B367" s="3" t="str">
        <f t="shared" si="13"/>
        <v>Email instauration Abilify Maintena 960 mg_FR-AM2-2400029</v>
      </c>
      <c r="C367" s="3" t="str">
        <f>HYPERLINK("https://otsuka-europe-crm.veevavault.com/ui/#object/sent_email__v/VBLZ025E82GCAPD", "SE-000254929")</f>
        <v>SE-000254929</v>
      </c>
      <c r="D367" s="4" t="s">
        <v>11</v>
      </c>
      <c r="E367" s="5">
        <v>0</v>
      </c>
      <c r="F367" s="5">
        <v>0</v>
      </c>
      <c r="G367" s="5">
        <v>0</v>
      </c>
      <c r="H367" s="4" t="s">
        <v>11</v>
      </c>
      <c r="I367" s="5">
        <v>0</v>
      </c>
      <c r="J367" s="4">
        <v>45901.676435185182</v>
      </c>
    </row>
    <row r="368" spans="1:10" x14ac:dyDescent="0.2">
      <c r="A368" s="2" t="s">
        <v>10</v>
      </c>
      <c r="B368" s="3" t="str">
        <f t="shared" si="13"/>
        <v>Email instauration Abilify Maintena 960 mg_FR-AM2-2400029</v>
      </c>
      <c r="C368" s="3" t="str">
        <f>HYPERLINK("https://otsuka-europe-crm.veevavault.com/ui/#object/sent_email__v/VBLZ025E82GCEBX", "SE-000254932")</f>
        <v>SE-000254932</v>
      </c>
      <c r="D368" s="4" t="s">
        <v>11</v>
      </c>
      <c r="E368" s="5">
        <v>0</v>
      </c>
      <c r="F368" s="5">
        <v>0</v>
      </c>
      <c r="G368" s="5">
        <v>0</v>
      </c>
      <c r="H368" s="4" t="s">
        <v>11</v>
      </c>
      <c r="I368" s="5">
        <v>0</v>
      </c>
      <c r="J368" s="4">
        <v>45901.737800925926</v>
      </c>
    </row>
    <row r="369" spans="1:10" x14ac:dyDescent="0.2">
      <c r="A369" s="2" t="s">
        <v>10</v>
      </c>
      <c r="B369" s="3" t="str">
        <f t="shared" si="13"/>
        <v>Email instauration Abilify Maintena 960 mg_FR-AM2-2400029</v>
      </c>
      <c r="C369" s="3" t="str">
        <f>HYPERLINK("https://otsuka-europe-crm.veevavault.com/ui/#object/sent_email__v/VBLZ025E82GCEEP", "SE-000254933")</f>
        <v>SE-000254933</v>
      </c>
      <c r="D369" s="4">
        <v>45907.933020833334</v>
      </c>
      <c r="E369" s="5">
        <v>1</v>
      </c>
      <c r="F369" s="5">
        <v>2</v>
      </c>
      <c r="G369" s="5">
        <v>0</v>
      </c>
      <c r="H369" s="4" t="s">
        <v>11</v>
      </c>
      <c r="I369" s="5">
        <v>0</v>
      </c>
      <c r="J369" s="4">
        <v>45901.738576388889</v>
      </c>
    </row>
    <row r="370" spans="1:10" x14ac:dyDescent="0.2">
      <c r="A370" s="2" t="s">
        <v>10</v>
      </c>
      <c r="B370" s="3" t="str">
        <f t="shared" si="13"/>
        <v>Email instauration Abilify Maintena 960 mg_FR-AM2-2400029</v>
      </c>
      <c r="C370" s="3" t="str">
        <f>HYPERLINK("https://otsuka-europe-crm.veevavault.com/ui/#object/sent_email__v/VBLZ025E82GCEK9", "SE-000254934")</f>
        <v>SE-000254934</v>
      </c>
      <c r="D370" s="4" t="s">
        <v>11</v>
      </c>
      <c r="E370" s="5">
        <v>0</v>
      </c>
      <c r="F370" s="5">
        <v>0</v>
      </c>
      <c r="G370" s="5">
        <v>0</v>
      </c>
      <c r="H370" s="4" t="s">
        <v>11</v>
      </c>
      <c r="I370" s="5">
        <v>0</v>
      </c>
      <c r="J370" s="4">
        <v>45901.759687500002</v>
      </c>
    </row>
    <row r="371" spans="1:10" x14ac:dyDescent="0.2">
      <c r="A371" s="2" t="s">
        <v>10</v>
      </c>
      <c r="B371" s="3" t="str">
        <f t="shared" si="13"/>
        <v>Email instauration Abilify Maintena 960 mg_FR-AM2-2400029</v>
      </c>
      <c r="C371" s="3" t="str">
        <f>HYPERLINK("https://otsuka-europe-crm.veevavault.com/ui/#object/sent_email__v/VBLZ025E82GCPTT", "SE-000254959")</f>
        <v>SE-000254959</v>
      </c>
      <c r="D371" s="4" t="s">
        <v>11</v>
      </c>
      <c r="E371" s="5">
        <v>0</v>
      </c>
      <c r="F371" s="5">
        <v>0</v>
      </c>
      <c r="G371" s="5">
        <v>0</v>
      </c>
      <c r="H371" s="4" t="s">
        <v>11</v>
      </c>
      <c r="I371" s="5">
        <v>0</v>
      </c>
      <c r="J371" s="4">
        <v>45902.425543981481</v>
      </c>
    </row>
    <row r="372" spans="1:10" x14ac:dyDescent="0.2">
      <c r="A372" s="2" t="s">
        <v>10</v>
      </c>
      <c r="B372" s="3" t="str">
        <f t="shared" si="13"/>
        <v>Email instauration Abilify Maintena 960 mg_FR-AM2-2400029</v>
      </c>
      <c r="C372" s="3" t="str">
        <f>HYPERLINK("https://otsuka-europe-crm.veevavault.com/ui/#object/sent_email__v/VBLZ025E82GD1SD", "SE-000255121")</f>
        <v>SE-000255121</v>
      </c>
      <c r="D372" s="4">
        <v>45902.561909722222</v>
      </c>
      <c r="E372" s="5">
        <v>1</v>
      </c>
      <c r="F372" s="5">
        <v>2</v>
      </c>
      <c r="G372" s="5">
        <v>0</v>
      </c>
      <c r="H372" s="4" t="s">
        <v>11</v>
      </c>
      <c r="I372" s="5">
        <v>0</v>
      </c>
      <c r="J372" s="4">
        <v>45902.544814814813</v>
      </c>
    </row>
    <row r="373" spans="1:10" x14ac:dyDescent="0.2">
      <c r="A373" s="2" t="s">
        <v>10</v>
      </c>
      <c r="B373" s="3" t="str">
        <f t="shared" si="13"/>
        <v>Email instauration Abilify Maintena 960 mg_FR-AM2-2400029</v>
      </c>
      <c r="C373" s="3" t="str">
        <f>HYPERLINK("https://otsuka-europe-crm.veevavault.com/ui/#object/sent_email__v/VBLZ025E82GD43Q", "SE-000255124")</f>
        <v>SE-000255124</v>
      </c>
      <c r="D373" s="4">
        <v>45902.747916666667</v>
      </c>
      <c r="E373" s="5">
        <v>1</v>
      </c>
      <c r="F373" s="5">
        <v>1</v>
      </c>
      <c r="G373" s="5">
        <v>0</v>
      </c>
      <c r="H373" s="4" t="s">
        <v>11</v>
      </c>
      <c r="I373" s="5">
        <v>0</v>
      </c>
      <c r="J373" s="4">
        <v>45902.574826388889</v>
      </c>
    </row>
    <row r="374" spans="1:10" x14ac:dyDescent="0.2">
      <c r="A374" s="2" t="s">
        <v>10</v>
      </c>
      <c r="B374" s="3" t="str">
        <f t="shared" si="13"/>
        <v>Email instauration Abilify Maintena 960 mg_FR-AM2-2400029</v>
      </c>
      <c r="C374" s="3" t="str">
        <f>HYPERLINK("https://otsuka-europe-crm.veevavault.com/ui/#object/sent_email__v/VBLZ025E82GD741", "SE-000255126")</f>
        <v>SE-000255126</v>
      </c>
      <c r="D374" s="4">
        <v>45903.301805555559</v>
      </c>
      <c r="E374" s="5">
        <v>1</v>
      </c>
      <c r="F374" s="5">
        <v>1</v>
      </c>
      <c r="G374" s="5">
        <v>0</v>
      </c>
      <c r="H374" s="4" t="s">
        <v>11</v>
      </c>
      <c r="I374" s="5">
        <v>0</v>
      </c>
      <c r="J374" s="4">
        <v>45902.609618055554</v>
      </c>
    </row>
    <row r="375" spans="1:10" x14ac:dyDescent="0.2">
      <c r="A375" s="2" t="s">
        <v>10</v>
      </c>
      <c r="B375" s="3" t="str">
        <f t="shared" si="13"/>
        <v>Email instauration Abilify Maintena 960 mg_FR-AM2-2400029</v>
      </c>
      <c r="C375" s="3" t="str">
        <f>HYPERLINK("https://otsuka-europe-crm.veevavault.com/ui/#object/sent_email__v/VBLZ025E82GDHDH", "SE-000255152")</f>
        <v>SE-000255152</v>
      </c>
      <c r="D375" s="4">
        <v>45902.914606481485</v>
      </c>
      <c r="E375" s="5">
        <v>1</v>
      </c>
      <c r="F375" s="5">
        <v>4</v>
      </c>
      <c r="G375" s="5">
        <v>0</v>
      </c>
      <c r="H375" s="4" t="s">
        <v>11</v>
      </c>
      <c r="I375" s="5">
        <v>0</v>
      </c>
      <c r="J375" s="4">
        <v>45902.704444444447</v>
      </c>
    </row>
    <row r="376" spans="1:10" x14ac:dyDescent="0.2">
      <c r="A376" s="2" t="s">
        <v>10</v>
      </c>
      <c r="B376" s="3" t="str">
        <f t="shared" si="13"/>
        <v>Email instauration Abilify Maintena 960 mg_FR-AM2-2400029</v>
      </c>
      <c r="C376" s="3" t="str">
        <f>HYPERLINK("https://otsuka-europe-crm.veevavault.com/ui/#object/sent_email__v/VBLZ025E82GDEZE", "SE-000255154")</f>
        <v>SE-000255154</v>
      </c>
      <c r="D376" s="4">
        <v>45903.052199074074</v>
      </c>
      <c r="E376" s="5">
        <v>1</v>
      </c>
      <c r="F376" s="5">
        <v>1</v>
      </c>
      <c r="G376" s="5">
        <v>0</v>
      </c>
      <c r="H376" s="4" t="s">
        <v>11</v>
      </c>
      <c r="I376" s="5">
        <v>0</v>
      </c>
      <c r="J376" s="4">
        <v>45902.704988425925</v>
      </c>
    </row>
    <row r="377" spans="1:10" x14ac:dyDescent="0.2">
      <c r="A377" s="2" t="s">
        <v>10</v>
      </c>
      <c r="B377" s="3" t="str">
        <f t="shared" si="13"/>
        <v>Email instauration Abilify Maintena 960 mg_FR-AM2-2400029</v>
      </c>
      <c r="C377" s="3" t="str">
        <f>HYPERLINK("https://otsuka-europe-crm.veevavault.com/ui/#object/sent_email__v/VBLZ025E82GDKRP", "SE-000255156")</f>
        <v>SE-000255156</v>
      </c>
      <c r="D377" s="4">
        <v>45903.234097222223</v>
      </c>
      <c r="E377" s="5">
        <v>1</v>
      </c>
      <c r="F377" s="5">
        <v>4</v>
      </c>
      <c r="G377" s="5">
        <v>1</v>
      </c>
      <c r="H377" s="4">
        <v>45903.234085648146</v>
      </c>
      <c r="I377" s="5">
        <v>6</v>
      </c>
      <c r="J377" s="4">
        <v>45903.232407407406</v>
      </c>
    </row>
    <row r="378" spans="1:10" x14ac:dyDescent="0.2">
      <c r="A378" s="2" t="s">
        <v>10</v>
      </c>
      <c r="B378" s="3" t="str">
        <f t="shared" si="13"/>
        <v>Email instauration Abilify Maintena 960 mg_FR-AM2-2400029</v>
      </c>
      <c r="C378" s="3" t="str">
        <f>HYPERLINK("https://otsuka-europe-crm.veevavault.com/ui/#object/sent_email__v/VBLZ025E82GE0WA", "SE-000255209")</f>
        <v>SE-000255209</v>
      </c>
      <c r="D378" s="4" t="s">
        <v>11</v>
      </c>
      <c r="E378" s="5">
        <v>0</v>
      </c>
      <c r="F378" s="5">
        <v>0</v>
      </c>
      <c r="G378" s="5">
        <v>0</v>
      </c>
      <c r="H378" s="4" t="s">
        <v>11</v>
      </c>
      <c r="I378" s="5">
        <v>0</v>
      </c>
      <c r="J378" s="4">
        <v>45903.536608796298</v>
      </c>
    </row>
    <row r="379" spans="1:10" x14ac:dyDescent="0.2">
      <c r="A379" s="2" t="s">
        <v>10</v>
      </c>
      <c r="B379" s="3" t="str">
        <f t="shared" si="13"/>
        <v>Email instauration Abilify Maintena 960 mg_FR-AM2-2400029</v>
      </c>
      <c r="C379" s="3" t="str">
        <f>HYPERLINK("https://otsuka-europe-crm.veevavault.com/ui/#object/sent_email__v/VBLZ025E82GE4OD", "SE-000255210")</f>
        <v>SE-000255210</v>
      </c>
      <c r="D379" s="4">
        <v>45904.563831018517</v>
      </c>
      <c r="E379" s="5">
        <v>1</v>
      </c>
      <c r="F379" s="5">
        <v>1</v>
      </c>
      <c r="G379" s="5">
        <v>0</v>
      </c>
      <c r="H379" s="4" t="s">
        <v>11</v>
      </c>
      <c r="I379" s="5">
        <v>0</v>
      </c>
      <c r="J379" s="4">
        <v>45903.537118055552</v>
      </c>
    </row>
    <row r="380" spans="1:10" x14ac:dyDescent="0.2">
      <c r="A380" s="2" t="s">
        <v>10</v>
      </c>
      <c r="B380" s="3" t="str">
        <f t="shared" si="13"/>
        <v>Email instauration Abilify Maintena 960 mg_FR-AM2-2400029</v>
      </c>
      <c r="C380" s="3" t="str">
        <f>HYPERLINK("https://otsuka-europe-crm.veevavault.com/ui/#object/sent_email__v/VBLZ025E82GEBMD", "SE-000255217")</f>
        <v>SE-000255217</v>
      </c>
      <c r="D380" s="4">
        <v>45903.686284722222</v>
      </c>
      <c r="E380" s="5">
        <v>1</v>
      </c>
      <c r="F380" s="5">
        <v>3</v>
      </c>
      <c r="G380" s="5">
        <v>0</v>
      </c>
      <c r="H380" s="4" t="s">
        <v>11</v>
      </c>
      <c r="I380" s="5">
        <v>0</v>
      </c>
      <c r="J380" s="4">
        <v>45903.603888888887</v>
      </c>
    </row>
    <row r="381" spans="1:10" x14ac:dyDescent="0.2">
      <c r="A381" s="2" t="s">
        <v>10</v>
      </c>
      <c r="B381" s="3" t="str">
        <f t="shared" si="13"/>
        <v>Email instauration Abilify Maintena 960 mg_FR-AM2-2400029</v>
      </c>
      <c r="C381" s="3" t="str">
        <f>HYPERLINK("https://otsuka-europe-crm.veevavault.com/ui/#object/sent_email__v/VBLZ025E82GEBRX", "SE-000255219")</f>
        <v>SE-000255219</v>
      </c>
      <c r="D381" s="4" t="s">
        <v>11</v>
      </c>
      <c r="E381" s="5">
        <v>0</v>
      </c>
      <c r="F381" s="5">
        <v>0</v>
      </c>
      <c r="G381" s="5">
        <v>0</v>
      </c>
      <c r="H381" s="4" t="s">
        <v>11</v>
      </c>
      <c r="I381" s="5">
        <v>0</v>
      </c>
      <c r="J381" s="4">
        <v>45903.604398148149</v>
      </c>
    </row>
    <row r="382" spans="1:10" x14ac:dyDescent="0.2">
      <c r="A382" s="2" t="s">
        <v>10</v>
      </c>
      <c r="B382" s="3" t="str">
        <f t="shared" si="13"/>
        <v>Email instauration Abilify Maintena 960 mg_FR-AM2-2400029</v>
      </c>
      <c r="C382" s="3" t="str">
        <f>HYPERLINK("https://otsuka-europe-crm.veevavault.com/ui/#object/sent_email__v/VBLZ025E82GEMNL", "SE-000255225")</f>
        <v>SE-000255225</v>
      </c>
      <c r="D382" s="4" t="s">
        <v>11</v>
      </c>
      <c r="E382" s="5">
        <v>0</v>
      </c>
      <c r="F382" s="5">
        <v>0</v>
      </c>
      <c r="G382" s="5">
        <v>0</v>
      </c>
      <c r="H382" s="4" t="s">
        <v>11</v>
      </c>
      <c r="I382" s="5">
        <v>0</v>
      </c>
      <c r="J382" s="4">
        <v>45903.714236111111</v>
      </c>
    </row>
    <row r="383" spans="1:10" x14ac:dyDescent="0.2">
      <c r="A383" s="2" t="s">
        <v>10</v>
      </c>
      <c r="B383" s="3" t="str">
        <f t="shared" si="13"/>
        <v>Email instauration Abilify Maintena 960 mg_FR-AM2-2400029</v>
      </c>
      <c r="C383" s="3" t="str">
        <f>HYPERLINK("https://otsuka-europe-crm.veevavault.com/ui/#object/sent_email__v/VBLZ025E82GESIP", "SE-000255238")</f>
        <v>SE-000255238</v>
      </c>
      <c r="D383" s="4" t="s">
        <v>11</v>
      </c>
      <c r="E383" s="5">
        <v>0</v>
      </c>
      <c r="F383" s="5">
        <v>0</v>
      </c>
      <c r="G383" s="5">
        <v>0</v>
      </c>
      <c r="H383" s="4" t="s">
        <v>11</v>
      </c>
      <c r="I383" s="5">
        <v>0</v>
      </c>
      <c r="J383" s="4">
        <v>45904.326631944445</v>
      </c>
    </row>
    <row r="384" spans="1:10" x14ac:dyDescent="0.2">
      <c r="A384" s="2" t="s">
        <v>10</v>
      </c>
      <c r="B384" s="3" t="str">
        <f t="shared" si="13"/>
        <v>Email instauration Abilify Maintena 960 mg_FR-AM2-2400029</v>
      </c>
      <c r="C384" s="3" t="str">
        <f>HYPERLINK("https://otsuka-europe-crm.veevavault.com/ui/#object/sent_email__v/VBLZ025E82GFG4P", "SE-000255371")</f>
        <v>SE-000255371</v>
      </c>
      <c r="D384" s="4" t="s">
        <v>11</v>
      </c>
      <c r="E384" s="5">
        <v>0</v>
      </c>
      <c r="F384" s="5">
        <v>0</v>
      </c>
      <c r="G384" s="5">
        <v>0</v>
      </c>
      <c r="H384" s="4" t="s">
        <v>11</v>
      </c>
      <c r="I384" s="5">
        <v>0</v>
      </c>
      <c r="J384" s="4">
        <v>45904.599641203706</v>
      </c>
    </row>
    <row r="385" spans="1:10" x14ac:dyDescent="0.2">
      <c r="A385" s="2" t="s">
        <v>10</v>
      </c>
      <c r="B385" s="3" t="str">
        <f t="shared" si="13"/>
        <v>Email instauration Abilify Maintena 960 mg_FR-AM2-2400029</v>
      </c>
      <c r="C385" s="3" t="str">
        <f>HYPERLINK("https://otsuka-europe-crm.veevavault.com/ui/#object/sent_email__v/VBLZ025E82GFG7H", "SE-000255372")</f>
        <v>SE-000255372</v>
      </c>
      <c r="D385" s="4">
        <v>46045.605497685188</v>
      </c>
      <c r="E385" s="5">
        <v>1</v>
      </c>
      <c r="F385" s="5">
        <v>8</v>
      </c>
      <c r="G385" s="5">
        <v>0</v>
      </c>
      <c r="H385" s="4" t="s">
        <v>11</v>
      </c>
      <c r="I385" s="5">
        <v>0</v>
      </c>
      <c r="J385" s="4">
        <v>45904.599849537037</v>
      </c>
    </row>
    <row r="386" spans="1:10" x14ac:dyDescent="0.2">
      <c r="A386" s="2" t="s">
        <v>10</v>
      </c>
      <c r="B386" s="3" t="str">
        <f t="shared" si="13"/>
        <v>Email instauration Abilify Maintena 960 mg_FR-AM2-2400029</v>
      </c>
      <c r="C386" s="3" t="str">
        <f>HYPERLINK("https://otsuka-europe-crm.veevavault.com/ui/#object/sent_email__v/VBLZ025E82GFLRH", "SE-000255384")</f>
        <v>SE-000255384</v>
      </c>
      <c r="D386" s="4">
        <v>45904.687511574077</v>
      </c>
      <c r="E386" s="5">
        <v>1</v>
      </c>
      <c r="F386" s="5">
        <v>1</v>
      </c>
      <c r="G386" s="5">
        <v>0</v>
      </c>
      <c r="H386" s="4" t="s">
        <v>11</v>
      </c>
      <c r="I386" s="5">
        <v>0</v>
      </c>
      <c r="J386" s="4">
        <v>45904.657476851855</v>
      </c>
    </row>
    <row r="387" spans="1:10" x14ac:dyDescent="0.2">
      <c r="A387" s="2" t="s">
        <v>10</v>
      </c>
      <c r="B387" s="3" t="str">
        <f t="shared" si="13"/>
        <v>Email instauration Abilify Maintena 960 mg_FR-AM2-2400029</v>
      </c>
      <c r="C387" s="3" t="str">
        <f>HYPERLINK("https://otsuka-europe-crm.veevavault.com/ui/#object/sent_email__v/VBLZ025E82GFMJ9", "SE-000255386")</f>
        <v>SE-000255386</v>
      </c>
      <c r="D387" s="4">
        <v>45905.731076388889</v>
      </c>
      <c r="E387" s="5">
        <v>1</v>
      </c>
      <c r="F387" s="5">
        <v>1</v>
      </c>
      <c r="G387" s="5">
        <v>0</v>
      </c>
      <c r="H387" s="4" t="s">
        <v>11</v>
      </c>
      <c r="I387" s="5">
        <v>0</v>
      </c>
      <c r="J387" s="4">
        <v>45904.665960648148</v>
      </c>
    </row>
    <row r="388" spans="1:10" x14ac:dyDescent="0.2">
      <c r="A388" s="2" t="s">
        <v>10</v>
      </c>
      <c r="B388" s="3" t="str">
        <f t="shared" si="13"/>
        <v>Email instauration Abilify Maintena 960 mg_FR-AM2-2400029</v>
      </c>
      <c r="C388" s="3" t="str">
        <f>HYPERLINK("https://otsuka-europe-crm.veevavault.com/ui/#object/sent_email__v/VBLZ025E82GFMM1", "SE-000255387")</f>
        <v>SE-000255387</v>
      </c>
      <c r="D388" s="4" t="s">
        <v>11</v>
      </c>
      <c r="E388" s="5">
        <v>0</v>
      </c>
      <c r="F388" s="5">
        <v>0</v>
      </c>
      <c r="G388" s="5">
        <v>0</v>
      </c>
      <c r="H388" s="4" t="s">
        <v>11</v>
      </c>
      <c r="I388" s="5">
        <v>0</v>
      </c>
      <c r="J388" s="4">
        <v>45904.666504629633</v>
      </c>
    </row>
    <row r="389" spans="1:10" x14ac:dyDescent="0.2">
      <c r="A389" s="2" t="s">
        <v>10</v>
      </c>
      <c r="B389" s="3" t="str">
        <f t="shared" si="13"/>
        <v>Email instauration Abilify Maintena 960 mg_FR-AM2-2400029</v>
      </c>
      <c r="C389" s="3" t="str">
        <f>HYPERLINK("https://otsuka-europe-crm.veevavault.com/ui/#object/sent_email__v/VBLZ025E82GFIG2", "SE-000255388")</f>
        <v>SE-000255388</v>
      </c>
      <c r="D389" s="4" t="s">
        <v>11</v>
      </c>
      <c r="E389" s="5">
        <v>0</v>
      </c>
      <c r="F389" s="5">
        <v>0</v>
      </c>
      <c r="G389" s="5">
        <v>0</v>
      </c>
      <c r="H389" s="4" t="s">
        <v>11</v>
      </c>
      <c r="I389" s="5">
        <v>0</v>
      </c>
      <c r="J389" s="4">
        <v>45904.667048611111</v>
      </c>
    </row>
    <row r="390" spans="1:10" x14ac:dyDescent="0.2">
      <c r="A390" s="2" t="s">
        <v>10</v>
      </c>
      <c r="B390" s="3" t="str">
        <f t="shared" si="13"/>
        <v>Email instauration Abilify Maintena 960 mg_FR-AM2-2400029</v>
      </c>
      <c r="C390" s="3" t="str">
        <f>HYPERLINK("https://otsuka-europe-crm.veevavault.com/ui/#object/sent_email__v/VBLZ025E82GFMZX", "SE-000255389")</f>
        <v>SE-000255389</v>
      </c>
      <c r="D390" s="4">
        <v>45905.633773148147</v>
      </c>
      <c r="E390" s="5">
        <v>1</v>
      </c>
      <c r="F390" s="5">
        <v>4</v>
      </c>
      <c r="G390" s="5">
        <v>0</v>
      </c>
      <c r="H390" s="4" t="s">
        <v>11</v>
      </c>
      <c r="I390" s="5">
        <v>0</v>
      </c>
      <c r="J390" s="4">
        <v>45904.66783564815</v>
      </c>
    </row>
    <row r="391" spans="1:10" x14ac:dyDescent="0.2">
      <c r="A391" s="2" t="s">
        <v>10</v>
      </c>
      <c r="B391" s="3" t="str">
        <f t="shared" si="13"/>
        <v>Email instauration Abilify Maintena 960 mg_FR-AM2-2400029</v>
      </c>
      <c r="C391" s="3" t="str">
        <f>HYPERLINK("https://otsuka-europe-crm.veevavault.com/ui/#object/sent_email__v/VBLZ025E82GGMC6", "SE-000255505")</f>
        <v>SE-000255505</v>
      </c>
      <c r="D391" s="4" t="s">
        <v>11</v>
      </c>
      <c r="E391" s="5">
        <v>0</v>
      </c>
      <c r="F391" s="5">
        <v>0</v>
      </c>
      <c r="G391" s="5">
        <v>0</v>
      </c>
      <c r="H391" s="4" t="s">
        <v>11</v>
      </c>
      <c r="I391" s="5">
        <v>0</v>
      </c>
      <c r="J391" s="4">
        <v>45905.620555555557</v>
      </c>
    </row>
    <row r="392" spans="1:10" x14ac:dyDescent="0.2">
      <c r="A392" s="2" t="s">
        <v>10</v>
      </c>
      <c r="B392" s="3" t="str">
        <f t="shared" si="13"/>
        <v>Email instauration Abilify Maintena 960 mg_FR-AM2-2400029</v>
      </c>
      <c r="C392" s="3" t="str">
        <f>HYPERLINK("https://otsuka-europe-crm.veevavault.com/ui/#object/sent_email__v/VBLZ025E82GGOF5", "SE-000255506")</f>
        <v>SE-000255506</v>
      </c>
      <c r="D392" s="4" t="s">
        <v>11</v>
      </c>
      <c r="E392" s="5">
        <v>0</v>
      </c>
      <c r="F392" s="5">
        <v>0</v>
      </c>
      <c r="G392" s="5">
        <v>0</v>
      </c>
      <c r="H392" s="4" t="s">
        <v>11</v>
      </c>
      <c r="I392" s="5">
        <v>0</v>
      </c>
      <c r="J392" s="4">
        <v>45905.620763888888</v>
      </c>
    </row>
    <row r="393" spans="1:10" x14ac:dyDescent="0.2">
      <c r="A393" s="2" t="s">
        <v>10</v>
      </c>
      <c r="B393" s="3" t="str">
        <f t="shared" si="13"/>
        <v>Email instauration Abilify Maintena 960 mg_FR-AM2-2400029</v>
      </c>
      <c r="C393" s="3" t="str">
        <f>HYPERLINK("https://otsuka-europe-crm.veevavault.com/ui/#object/sent_email__v/VBLZ025E82GGOYL", "SE-000255507")</f>
        <v>SE-000255507</v>
      </c>
      <c r="D393" s="4" t="s">
        <v>11</v>
      </c>
      <c r="E393" s="5">
        <v>0</v>
      </c>
      <c r="F393" s="5">
        <v>0</v>
      </c>
      <c r="G393" s="5">
        <v>0</v>
      </c>
      <c r="H393" s="4" t="s">
        <v>11</v>
      </c>
      <c r="I393" s="5">
        <v>0</v>
      </c>
      <c r="J393" s="4">
        <v>45905.628703703704</v>
      </c>
    </row>
    <row r="394" spans="1:10" x14ac:dyDescent="0.2">
      <c r="A394" s="2" t="s">
        <v>10</v>
      </c>
      <c r="B394" s="3" t="str">
        <f t="shared" si="13"/>
        <v>Email instauration Abilify Maintena 960 mg_FR-AM2-2400029</v>
      </c>
      <c r="C394" s="3" t="str">
        <f>HYPERLINK("https://otsuka-europe-crm.veevavault.com/ui/#object/sent_email__v/VBLZ025E82GGP1D", "SE-000255508")</f>
        <v>SE-000255508</v>
      </c>
      <c r="D394" s="4" t="s">
        <v>11</v>
      </c>
      <c r="E394" s="5">
        <v>0</v>
      </c>
      <c r="F394" s="5">
        <v>0</v>
      </c>
      <c r="G394" s="5">
        <v>0</v>
      </c>
      <c r="H394" s="4" t="s">
        <v>11</v>
      </c>
      <c r="I394" s="5">
        <v>0</v>
      </c>
      <c r="J394" s="4">
        <v>45905.629004629627</v>
      </c>
    </row>
    <row r="395" spans="1:10" x14ac:dyDescent="0.2">
      <c r="A395" s="2" t="s">
        <v>10</v>
      </c>
      <c r="B395" s="3" t="str">
        <f t="shared" si="13"/>
        <v>Email instauration Abilify Maintena 960 mg_FR-AM2-2400029</v>
      </c>
      <c r="C395" s="3" t="str">
        <f>HYPERLINK("https://otsuka-europe-crm.veevavault.com/ui/#object/sent_email__v/VBLZ025E82GGPI1", "SE-000255509")</f>
        <v>SE-000255509</v>
      </c>
      <c r="D395" s="4">
        <v>45905.662430555552</v>
      </c>
      <c r="E395" s="5">
        <v>1</v>
      </c>
      <c r="F395" s="5">
        <v>1</v>
      </c>
      <c r="G395" s="5">
        <v>0</v>
      </c>
      <c r="H395" s="4" t="s">
        <v>11</v>
      </c>
      <c r="I395" s="5">
        <v>0</v>
      </c>
      <c r="J395" s="4">
        <v>45905.641736111109</v>
      </c>
    </row>
    <row r="396" spans="1:10" x14ac:dyDescent="0.2">
      <c r="A396" s="2" t="s">
        <v>10</v>
      </c>
      <c r="B396" s="3" t="str">
        <f t="shared" si="13"/>
        <v>Email instauration Abilify Maintena 960 mg_FR-AM2-2400029</v>
      </c>
      <c r="C396" s="3" t="str">
        <f>HYPERLINK("https://otsuka-europe-crm.veevavault.com/ui/#object/sent_email__v/VBLZ025E82GGTA5", "SE-000255513")</f>
        <v>SE-000255513</v>
      </c>
      <c r="D396" s="4" t="s">
        <v>11</v>
      </c>
      <c r="E396" s="5">
        <v>0</v>
      </c>
      <c r="F396" s="5">
        <v>0</v>
      </c>
      <c r="G396" s="5">
        <v>0</v>
      </c>
      <c r="H396" s="4" t="s">
        <v>11</v>
      </c>
      <c r="I396" s="5">
        <v>0</v>
      </c>
      <c r="J396" s="4">
        <v>45905.729814814818</v>
      </c>
    </row>
    <row r="397" spans="1:10" x14ac:dyDescent="0.2">
      <c r="A397" s="2" t="s">
        <v>10</v>
      </c>
      <c r="B397" s="3" t="str">
        <f t="shared" si="13"/>
        <v>Email instauration Abilify Maintena 960 mg_FR-AM2-2400029</v>
      </c>
      <c r="C397" s="3" t="str">
        <f>HYPERLINK("https://otsuka-europe-crm.veevavault.com/ui/#object/sent_email__v/VBLZ025E82GHBN9", "SE-000255522")</f>
        <v>SE-000255522</v>
      </c>
      <c r="D397" s="4">
        <v>45909.427303240744</v>
      </c>
      <c r="E397" s="5">
        <v>1</v>
      </c>
      <c r="F397" s="5">
        <v>1</v>
      </c>
      <c r="G397" s="5">
        <v>0</v>
      </c>
      <c r="H397" s="4" t="s">
        <v>11</v>
      </c>
      <c r="I397" s="5">
        <v>0</v>
      </c>
      <c r="J397" s="4">
        <v>45908.435393518521</v>
      </c>
    </row>
    <row r="398" spans="1:10" x14ac:dyDescent="0.2">
      <c r="A398" s="2" t="s">
        <v>10</v>
      </c>
      <c r="B398" s="3" t="str">
        <f t="shared" si="13"/>
        <v>Email instauration Abilify Maintena 960 mg_FR-AM2-2400029</v>
      </c>
      <c r="C398" s="3" t="str">
        <f>HYPERLINK("https://otsuka-europe-crm.veevavault.com/ui/#object/sent_email__v/VBLZ025E82GHHQP", "SE-000255528")</f>
        <v>SE-000255528</v>
      </c>
      <c r="D398" s="4" t="s">
        <v>11</v>
      </c>
      <c r="E398" s="5">
        <v>0</v>
      </c>
      <c r="F398" s="5">
        <v>0</v>
      </c>
      <c r="G398" s="5">
        <v>0</v>
      </c>
      <c r="H398" s="4" t="s">
        <v>11</v>
      </c>
      <c r="I398" s="5">
        <v>0</v>
      </c>
      <c r="J398" s="4">
        <v>45908.4843287037</v>
      </c>
    </row>
    <row r="399" spans="1:10" x14ac:dyDescent="0.2">
      <c r="A399" s="2" t="s">
        <v>10</v>
      </c>
      <c r="B399" s="3" t="str">
        <f t="shared" si="13"/>
        <v>Email instauration Abilify Maintena 960 mg_FR-AM2-2400029</v>
      </c>
      <c r="C399" s="3" t="str">
        <f>HYPERLINK("https://otsuka-europe-crm.veevavault.com/ui/#object/sent_email__v/VBLZ025E82GI36X", "SE-000255555")</f>
        <v>SE-000255555</v>
      </c>
      <c r="D399" s="4">
        <v>45909.269062500003</v>
      </c>
      <c r="E399" s="5">
        <v>1</v>
      </c>
      <c r="F399" s="5">
        <v>1</v>
      </c>
      <c r="G399" s="5">
        <v>0</v>
      </c>
      <c r="H399" s="4" t="s">
        <v>11</v>
      </c>
      <c r="I399" s="5">
        <v>0</v>
      </c>
      <c r="J399" s="4">
        <v>45908.708310185182</v>
      </c>
    </row>
    <row r="400" spans="1:10" x14ac:dyDescent="0.2">
      <c r="A400" s="2" t="s">
        <v>10</v>
      </c>
      <c r="B400" s="3" t="str">
        <f t="shared" si="13"/>
        <v>Email instauration Abilify Maintena 960 mg_FR-AM2-2400029</v>
      </c>
      <c r="C400" s="3" t="str">
        <f>HYPERLINK("https://otsuka-europe-crm.veevavault.com/ui/#object/sent_email__v/VBLZ025E82GI39P", "SE-000255556")</f>
        <v>SE-000255556</v>
      </c>
      <c r="D400" s="4">
        <v>45977.626747685186</v>
      </c>
      <c r="E400" s="5">
        <v>1</v>
      </c>
      <c r="F400" s="5">
        <v>1</v>
      </c>
      <c r="G400" s="5">
        <v>0</v>
      </c>
      <c r="H400" s="4" t="s">
        <v>11</v>
      </c>
      <c r="I400" s="5">
        <v>0</v>
      </c>
      <c r="J400" s="4">
        <v>45908.708657407406</v>
      </c>
    </row>
    <row r="401" spans="1:10" x14ac:dyDescent="0.2">
      <c r="A401" s="2" t="s">
        <v>10</v>
      </c>
      <c r="B401" s="3" t="str">
        <f t="shared" si="13"/>
        <v>Email instauration Abilify Maintena 960 mg_FR-AM2-2400029</v>
      </c>
      <c r="C401" s="3" t="str">
        <f>HYPERLINK("https://otsuka-europe-crm.veevavault.com/ui/#object/sent_email__v/VBLZ025E82GIHXH", "SE-000255599")</f>
        <v>SE-000255599</v>
      </c>
      <c r="D401" s="4">
        <v>45909.552881944444</v>
      </c>
      <c r="E401" s="5">
        <v>1</v>
      </c>
      <c r="F401" s="5">
        <v>2</v>
      </c>
      <c r="G401" s="5">
        <v>0</v>
      </c>
      <c r="H401" s="4" t="s">
        <v>11</v>
      </c>
      <c r="I401" s="5">
        <v>0</v>
      </c>
      <c r="J401" s="4">
        <v>45909.428287037037</v>
      </c>
    </row>
    <row r="402" spans="1:10" x14ac:dyDescent="0.2">
      <c r="A402" s="2" t="s">
        <v>10</v>
      </c>
      <c r="B402" s="3" t="str">
        <f t="shared" si="13"/>
        <v>Email instauration Abilify Maintena 960 mg_FR-AM2-2400029</v>
      </c>
      <c r="C402" s="3" t="str">
        <f>HYPERLINK("https://otsuka-europe-crm.veevavault.com/ui/#object/sent_email__v/VBLZ025E82GII31", "SE-000255600")</f>
        <v>SE-000255600</v>
      </c>
      <c r="D402" s="4" t="s">
        <v>11</v>
      </c>
      <c r="E402" s="5">
        <v>0</v>
      </c>
      <c r="F402" s="5">
        <v>0</v>
      </c>
      <c r="G402" s="5">
        <v>0</v>
      </c>
      <c r="H402" s="4" t="s">
        <v>11</v>
      </c>
      <c r="I402" s="5">
        <v>0</v>
      </c>
      <c r="J402" s="4">
        <v>45909.429618055554</v>
      </c>
    </row>
    <row r="403" spans="1:10" x14ac:dyDescent="0.2">
      <c r="A403" s="2" t="s">
        <v>10</v>
      </c>
      <c r="B403" s="3" t="str">
        <f t="shared" si="13"/>
        <v>Email instauration Abilify Maintena 960 mg_FR-AM2-2400029</v>
      </c>
      <c r="C403" s="3" t="str">
        <f>HYPERLINK("https://otsuka-europe-crm.veevavault.com/ui/#object/sent_email__v/VBLZ025E82GIGGQ", "SE-000255601")</f>
        <v>SE-000255601</v>
      </c>
      <c r="D403" s="4" t="s">
        <v>11</v>
      </c>
      <c r="E403" s="5">
        <v>0</v>
      </c>
      <c r="F403" s="5">
        <v>0</v>
      </c>
      <c r="G403" s="5">
        <v>0</v>
      </c>
      <c r="H403" s="4" t="s">
        <v>11</v>
      </c>
      <c r="I403" s="5">
        <v>0</v>
      </c>
      <c r="J403" s="4">
        <v>45909.430300925924</v>
      </c>
    </row>
    <row r="404" spans="1:10" x14ac:dyDescent="0.2">
      <c r="A404" s="2" t="s">
        <v>10</v>
      </c>
      <c r="B404" s="3" t="str">
        <f t="shared" si="13"/>
        <v>Email instauration Abilify Maintena 960 mg_FR-AM2-2400029</v>
      </c>
      <c r="C404" s="3" t="str">
        <f>HYPERLINK("https://otsuka-europe-crm.veevavault.com/ui/#object/sent_email__v/VBLZ025E82GIIGX", "SE-000255603")</f>
        <v>SE-000255603</v>
      </c>
      <c r="D404" s="4" t="s">
        <v>11</v>
      </c>
      <c r="E404" s="5">
        <v>0</v>
      </c>
      <c r="F404" s="5">
        <v>0</v>
      </c>
      <c r="G404" s="5">
        <v>0</v>
      </c>
      <c r="H404" s="4" t="s">
        <v>11</v>
      </c>
      <c r="I404" s="5">
        <v>0</v>
      </c>
      <c r="J404" s="4">
        <v>45909.435613425929</v>
      </c>
    </row>
    <row r="405" spans="1:10" x14ac:dyDescent="0.2">
      <c r="A405" s="2" t="s">
        <v>10</v>
      </c>
      <c r="B405" s="3" t="str">
        <f t="shared" si="13"/>
        <v>Email instauration Abilify Maintena 960 mg_FR-AM2-2400029</v>
      </c>
      <c r="C405" s="3" t="str">
        <f>HYPERLINK("https://otsuka-europe-crm.veevavault.com/ui/#object/sent_email__v/VBLZ025E82GIMMX", "SE-000255607")</f>
        <v>SE-000255607</v>
      </c>
      <c r="D405" s="4">
        <v>45909.571585648147</v>
      </c>
      <c r="E405" s="5">
        <v>1</v>
      </c>
      <c r="F405" s="5">
        <v>1</v>
      </c>
      <c r="G405" s="5">
        <v>0</v>
      </c>
      <c r="H405" s="4" t="s">
        <v>11</v>
      </c>
      <c r="I405" s="5">
        <v>0</v>
      </c>
      <c r="J405" s="4">
        <v>45909.486759259256</v>
      </c>
    </row>
    <row r="406" spans="1:10" x14ac:dyDescent="0.2">
      <c r="A406" s="2" t="s">
        <v>10</v>
      </c>
      <c r="B406" s="3" t="str">
        <f t="shared" si="13"/>
        <v>Email instauration Abilify Maintena 960 mg_FR-AM2-2400029</v>
      </c>
      <c r="C406" s="3" t="str">
        <f>HYPERLINK("https://otsuka-europe-crm.veevavault.com/ui/#object/sent_email__v/VBLZ025E82GIMPP", "SE-000255608")</f>
        <v>SE-000255608</v>
      </c>
      <c r="D406" s="4">
        <v>45909.549108796295</v>
      </c>
      <c r="E406" s="5">
        <v>1</v>
      </c>
      <c r="F406" s="5">
        <v>1</v>
      </c>
      <c r="G406" s="5">
        <v>0</v>
      </c>
      <c r="H406" s="4" t="s">
        <v>11</v>
      </c>
      <c r="I406" s="5">
        <v>0</v>
      </c>
      <c r="J406" s="4">
        <v>45909.487268518518</v>
      </c>
    </row>
    <row r="407" spans="1:10" x14ac:dyDescent="0.2">
      <c r="A407" s="2" t="s">
        <v>10</v>
      </c>
      <c r="B407" s="3" t="str">
        <f t="shared" si="13"/>
        <v>Email instauration Abilify Maintena 960 mg_FR-AM2-2400029</v>
      </c>
      <c r="C407" s="3" t="str">
        <f>HYPERLINK("https://otsuka-europe-crm.veevavault.com/ui/#object/sent_email__v/VBLZ025E82GIQ6P", "SE-000255614")</f>
        <v>SE-000255614</v>
      </c>
      <c r="D407" s="4">
        <v>45909.705335648148</v>
      </c>
      <c r="E407" s="5">
        <v>1</v>
      </c>
      <c r="F407" s="5">
        <v>1</v>
      </c>
      <c r="G407" s="5">
        <v>0</v>
      </c>
      <c r="H407" s="4" t="s">
        <v>11</v>
      </c>
      <c r="I407" s="5">
        <v>0</v>
      </c>
      <c r="J407" s="4">
        <v>45909.507777777777</v>
      </c>
    </row>
    <row r="408" spans="1:10" x14ac:dyDescent="0.2">
      <c r="A408" s="2" t="s">
        <v>10</v>
      </c>
      <c r="B408" s="3" t="str">
        <f t="shared" si="13"/>
        <v>Email instauration Abilify Maintena 960 mg_FR-AM2-2400029</v>
      </c>
      <c r="C408" s="3" t="str">
        <f>HYPERLINK("https://otsuka-europe-crm.veevavault.com/ui/#object/sent_email__v/VBLZ025E82GISF9", "SE-000255626")</f>
        <v>SE-000255626</v>
      </c>
      <c r="D408" s="4" t="s">
        <v>11</v>
      </c>
      <c r="E408" s="5">
        <v>0</v>
      </c>
      <c r="F408" s="5">
        <v>0</v>
      </c>
      <c r="G408" s="5">
        <v>0</v>
      </c>
      <c r="H408" s="4" t="s">
        <v>11</v>
      </c>
      <c r="I408" s="5">
        <v>0</v>
      </c>
      <c r="J408" s="4">
        <v>45909.561851851853</v>
      </c>
    </row>
    <row r="409" spans="1:10" x14ac:dyDescent="0.2">
      <c r="A409" s="2" t="s">
        <v>10</v>
      </c>
      <c r="B409" s="3" t="str">
        <f t="shared" si="13"/>
        <v>Email instauration Abilify Maintena 960 mg_FR-AM2-2400029</v>
      </c>
      <c r="C409" s="3" t="str">
        <f>HYPERLINK("https://otsuka-europe-crm.veevavault.com/ui/#object/sent_email__v/VBLZ025E82GJ0OH", "SE-000255636")</f>
        <v>SE-000255636</v>
      </c>
      <c r="D409" s="4" t="s">
        <v>11</v>
      </c>
      <c r="E409" s="5">
        <v>0</v>
      </c>
      <c r="F409" s="5">
        <v>0</v>
      </c>
      <c r="G409" s="5">
        <v>0</v>
      </c>
      <c r="H409" s="4" t="s">
        <v>11</v>
      </c>
      <c r="I409" s="5">
        <v>0</v>
      </c>
      <c r="J409" s="4">
        <v>45909.624062499999</v>
      </c>
    </row>
    <row r="410" spans="1:10" x14ac:dyDescent="0.2">
      <c r="A410" s="2" t="s">
        <v>10</v>
      </c>
      <c r="B410" s="3" t="str">
        <f t="shared" si="13"/>
        <v>Email instauration Abilify Maintena 960 mg_FR-AM2-2400029</v>
      </c>
      <c r="C410" s="3" t="str">
        <f>HYPERLINK("https://otsuka-europe-crm.veevavault.com/ui/#object/sent_email__v/VBLZ025E82GJIQH", "SE-000255673")</f>
        <v>SE-000255673</v>
      </c>
      <c r="D410" s="4" t="s">
        <v>11</v>
      </c>
      <c r="E410" s="5">
        <v>0</v>
      </c>
      <c r="F410" s="5">
        <v>0</v>
      </c>
      <c r="G410" s="5">
        <v>0</v>
      </c>
      <c r="H410" s="4" t="s">
        <v>11</v>
      </c>
      <c r="I410" s="5">
        <v>0</v>
      </c>
      <c r="J410" s="4">
        <v>45910.380208333336</v>
      </c>
    </row>
    <row r="411" spans="1:10" x14ac:dyDescent="0.2">
      <c r="A411" s="2" t="s">
        <v>10</v>
      </c>
      <c r="B411" s="3" t="str">
        <f t="shared" si="13"/>
        <v>Email instauration Abilify Maintena 960 mg_FR-AM2-2400029</v>
      </c>
      <c r="C411" s="3" t="str">
        <f>HYPERLINK("https://otsuka-europe-crm.veevavault.com/ui/#object/sent_email__v/VBLZ025E82GJIW1", "SE-000255675")</f>
        <v>SE-000255675</v>
      </c>
      <c r="D411" s="4" t="s">
        <v>11</v>
      </c>
      <c r="E411" s="5">
        <v>0</v>
      </c>
      <c r="F411" s="5">
        <v>0</v>
      </c>
      <c r="G411" s="5">
        <v>0</v>
      </c>
      <c r="H411" s="4" t="s">
        <v>11</v>
      </c>
      <c r="I411" s="5">
        <v>0</v>
      </c>
      <c r="J411" s="4">
        <v>45910.380798611113</v>
      </c>
    </row>
    <row r="412" spans="1:10" x14ac:dyDescent="0.2">
      <c r="A412" s="2" t="s">
        <v>10</v>
      </c>
      <c r="B412" s="3" t="str">
        <f t="shared" si="13"/>
        <v>Email instauration Abilify Maintena 960 mg_FR-AM2-2400029</v>
      </c>
      <c r="C412" s="3" t="str">
        <f>HYPERLINK("https://otsuka-europe-crm.veevavault.com/ui/#object/sent_email__v/VBLZ025E82GJJ4D", "SE-000255678")</f>
        <v>SE-000255678</v>
      </c>
      <c r="D412" s="4">
        <v>45911.599328703705</v>
      </c>
      <c r="E412" s="5">
        <v>1</v>
      </c>
      <c r="F412" s="5">
        <v>1</v>
      </c>
      <c r="G412" s="5">
        <v>0</v>
      </c>
      <c r="H412" s="4" t="s">
        <v>11</v>
      </c>
      <c r="I412" s="5">
        <v>0</v>
      </c>
      <c r="J412" s="4">
        <v>45910.381354166668</v>
      </c>
    </row>
    <row r="413" spans="1:10" x14ac:dyDescent="0.2">
      <c r="A413" s="2" t="s">
        <v>10</v>
      </c>
      <c r="B413" s="3" t="str">
        <f t="shared" si="13"/>
        <v>Email instauration Abilify Maintena 960 mg_FR-AM2-2400029</v>
      </c>
      <c r="C413" s="3" t="str">
        <f>HYPERLINK("https://otsuka-europe-crm.veevavault.com/ui/#object/sent_email__v/VBLZ025E82GJPU1", "SE-000255688")</f>
        <v>SE-000255688</v>
      </c>
      <c r="D413" s="4">
        <v>45911.842824074076</v>
      </c>
      <c r="E413" s="5">
        <v>1</v>
      </c>
      <c r="F413" s="5">
        <v>4</v>
      </c>
      <c r="G413" s="5">
        <v>0</v>
      </c>
      <c r="H413" s="4" t="s">
        <v>11</v>
      </c>
      <c r="I413" s="5">
        <v>0</v>
      </c>
      <c r="J413" s="4">
        <v>45910.448981481481</v>
      </c>
    </row>
    <row r="414" spans="1:10" x14ac:dyDescent="0.2">
      <c r="A414" s="2" t="s">
        <v>10</v>
      </c>
      <c r="B414" s="3" t="str">
        <f t="shared" si="13"/>
        <v>Email instauration Abilify Maintena 960 mg_FR-AM2-2400029</v>
      </c>
      <c r="C414" s="3" t="str">
        <f>HYPERLINK("https://otsuka-europe-crm.veevavault.com/ui/#object/sent_email__v/VBLZ025E82GJQJ1", "SE-000255692")</f>
        <v>SE-000255692</v>
      </c>
      <c r="D414" s="4" t="s">
        <v>11</v>
      </c>
      <c r="E414" s="5">
        <v>0</v>
      </c>
      <c r="F414" s="5">
        <v>0</v>
      </c>
      <c r="G414" s="5">
        <v>0</v>
      </c>
      <c r="H414" s="4" t="s">
        <v>11</v>
      </c>
      <c r="I414" s="5">
        <v>0</v>
      </c>
      <c r="J414" s="4">
        <v>45910.452523148146</v>
      </c>
    </row>
    <row r="415" spans="1:10" x14ac:dyDescent="0.2">
      <c r="A415" s="2" t="s">
        <v>10</v>
      </c>
      <c r="B415" s="3" t="str">
        <f t="shared" si="13"/>
        <v>Email instauration Abilify Maintena 960 mg_FR-AM2-2400029</v>
      </c>
      <c r="C415" s="3" t="str">
        <f>HYPERLINK("https://otsuka-europe-crm.veevavault.com/ui/#object/sent_email__v/VBLZ025E82GJVJL", "SE-000255697")</f>
        <v>SE-000255697</v>
      </c>
      <c r="D415" s="4" t="s">
        <v>11</v>
      </c>
      <c r="E415" s="5">
        <v>0</v>
      </c>
      <c r="F415" s="5">
        <v>0</v>
      </c>
      <c r="G415" s="5">
        <v>0</v>
      </c>
      <c r="H415" s="4" t="s">
        <v>11</v>
      </c>
      <c r="I415" s="5">
        <v>0</v>
      </c>
      <c r="J415" s="4">
        <v>45910.515902777777</v>
      </c>
    </row>
    <row r="416" spans="1:10" x14ac:dyDescent="0.2">
      <c r="A416" s="2" t="s">
        <v>10</v>
      </c>
      <c r="B416" s="3" t="str">
        <f t="shared" si="13"/>
        <v>Email instauration Abilify Maintena 960 mg_FR-AM2-2400029</v>
      </c>
      <c r="C416" s="3" t="str">
        <f>HYPERLINK("https://otsuka-europe-crm.veevavault.com/ui/#object/sent_email__v/VBLZ025E82GJXBH", "SE-000255701")</f>
        <v>SE-000255701</v>
      </c>
      <c r="D416" s="4" t="s">
        <v>11</v>
      </c>
      <c r="E416" s="5">
        <v>0</v>
      </c>
      <c r="F416" s="5">
        <v>0</v>
      </c>
      <c r="G416" s="5">
        <v>0</v>
      </c>
      <c r="H416" s="4" t="s">
        <v>11</v>
      </c>
      <c r="I416" s="5">
        <v>0</v>
      </c>
      <c r="J416" s="4">
        <v>45910.566261574073</v>
      </c>
    </row>
    <row r="417" spans="1:10" x14ac:dyDescent="0.2">
      <c r="A417" s="2" t="s">
        <v>10</v>
      </c>
      <c r="B417" s="3" t="str">
        <f t="shared" si="13"/>
        <v>Email instauration Abilify Maintena 960 mg_FR-AM2-2400029</v>
      </c>
      <c r="C417" s="3" t="str">
        <f>HYPERLINK("https://otsuka-europe-crm.veevavault.com/ui/#object/sent_email__v/VBLZ025E82GJXE9", "SE-000255702")</f>
        <v>SE-000255702</v>
      </c>
      <c r="D417" s="4">
        <v>45910.575949074075</v>
      </c>
      <c r="E417" s="5">
        <v>1</v>
      </c>
      <c r="F417" s="5">
        <v>2</v>
      </c>
      <c r="G417" s="5">
        <v>0</v>
      </c>
      <c r="H417" s="4" t="s">
        <v>11</v>
      </c>
      <c r="I417" s="5">
        <v>0</v>
      </c>
      <c r="J417" s="4">
        <v>45910.566516203704</v>
      </c>
    </row>
    <row r="418" spans="1:10" x14ac:dyDescent="0.2">
      <c r="A418" s="2" t="s">
        <v>10</v>
      </c>
      <c r="B418" s="3" t="str">
        <f t="shared" si="13"/>
        <v>Email instauration Abilify Maintena 960 mg_FR-AM2-2400029</v>
      </c>
      <c r="C418" s="3" t="str">
        <f>HYPERLINK("https://otsuka-europe-crm.veevavault.com/ui/#object/sent_email__v/VBLZ025E82GK2SP", "SE-000255707")</f>
        <v>SE-000255707</v>
      </c>
      <c r="D418" s="4" t="s">
        <v>11</v>
      </c>
      <c r="E418" s="5">
        <v>0</v>
      </c>
      <c r="F418" s="5">
        <v>0</v>
      </c>
      <c r="G418" s="5">
        <v>0</v>
      </c>
      <c r="H418" s="4" t="s">
        <v>11</v>
      </c>
      <c r="I418" s="5">
        <v>0</v>
      </c>
      <c r="J418" s="4">
        <v>45910.638090277775</v>
      </c>
    </row>
    <row r="419" spans="1:10" x14ac:dyDescent="0.2">
      <c r="A419" s="2" t="s">
        <v>10</v>
      </c>
      <c r="B419" s="3" t="str">
        <f t="shared" si="13"/>
        <v>Email instauration Abilify Maintena 960 mg_FR-AM2-2400029</v>
      </c>
      <c r="C419" s="3" t="str">
        <f>HYPERLINK("https://otsuka-europe-crm.veevavault.com/ui/#object/sent_email__v/VBLZ025E82GK2VH", "SE-000255708")</f>
        <v>SE-000255708</v>
      </c>
      <c r="D419" s="4" t="s">
        <v>11</v>
      </c>
      <c r="E419" s="5">
        <v>0</v>
      </c>
      <c r="F419" s="5">
        <v>0</v>
      </c>
      <c r="G419" s="5">
        <v>0</v>
      </c>
      <c r="H419" s="4" t="s">
        <v>11</v>
      </c>
      <c r="I419" s="5">
        <v>0</v>
      </c>
      <c r="J419" s="4">
        <v>45910.638333333336</v>
      </c>
    </row>
    <row r="420" spans="1:10" x14ac:dyDescent="0.2">
      <c r="A420" s="2" t="s">
        <v>10</v>
      </c>
      <c r="B420" s="3" t="str">
        <f t="shared" si="13"/>
        <v>Email instauration Abilify Maintena 960 mg_FR-AM2-2400029</v>
      </c>
      <c r="C420" s="3" t="str">
        <f>HYPERLINK("https://otsuka-europe-crm.veevavault.com/ui/#object/sent_email__v/VBLZ025E82GL1LH", "SE-000255842")</f>
        <v>SE-000255842</v>
      </c>
      <c r="D420" s="4" t="s">
        <v>11</v>
      </c>
      <c r="E420" s="5">
        <v>0</v>
      </c>
      <c r="F420" s="5">
        <v>0</v>
      </c>
      <c r="G420" s="5">
        <v>0</v>
      </c>
      <c r="H420" s="4" t="s">
        <v>11</v>
      </c>
      <c r="I420" s="5">
        <v>0</v>
      </c>
      <c r="J420" s="4">
        <v>45911.553541666668</v>
      </c>
    </row>
    <row r="421" spans="1:10" x14ac:dyDescent="0.2">
      <c r="A421" s="2" t="s">
        <v>10</v>
      </c>
      <c r="B421" s="3" t="str">
        <f t="shared" si="13"/>
        <v>Email instauration Abilify Maintena 960 mg_FR-AM2-2400029</v>
      </c>
      <c r="C421" s="3" t="str">
        <f>HYPERLINK("https://otsuka-europe-crm.veevavault.com/ui/#object/sent_email__v/VBLZ025E82GLLT9", "SE-000256011")</f>
        <v>SE-000256011</v>
      </c>
      <c r="D421" s="4" t="s">
        <v>11</v>
      </c>
      <c r="E421" s="5">
        <v>0</v>
      </c>
      <c r="F421" s="5">
        <v>0</v>
      </c>
      <c r="G421" s="5">
        <v>0</v>
      </c>
      <c r="H421" s="4" t="s">
        <v>11</v>
      </c>
      <c r="I421" s="5">
        <v>0</v>
      </c>
      <c r="J421" s="4">
        <v>45912.367731481485</v>
      </c>
    </row>
    <row r="422" spans="1:10" x14ac:dyDescent="0.2">
      <c r="A422" s="2" t="s">
        <v>10</v>
      </c>
      <c r="B422" s="3" t="str">
        <f t="shared" si="13"/>
        <v>Email instauration Abilify Maintena 960 mg_FR-AM2-2400029</v>
      </c>
      <c r="C422" s="3" t="str">
        <f>HYPERLINK("https://otsuka-europe-crm.veevavault.com/ui/#object/sent_email__v/VBLZ025E82GLM1L", "SE-000256012")</f>
        <v>SE-000256012</v>
      </c>
      <c r="D422" s="4">
        <v>45915.316979166666</v>
      </c>
      <c r="E422" s="5">
        <v>1</v>
      </c>
      <c r="F422" s="5">
        <v>2</v>
      </c>
      <c r="G422" s="5">
        <v>0</v>
      </c>
      <c r="H422" s="4" t="s">
        <v>11</v>
      </c>
      <c r="I422" s="5">
        <v>0</v>
      </c>
      <c r="J422" s="4">
        <v>45912.369085648148</v>
      </c>
    </row>
    <row r="423" spans="1:10" x14ac:dyDescent="0.2">
      <c r="A423" s="2" t="s">
        <v>10</v>
      </c>
      <c r="B423" s="3" t="str">
        <f t="shared" si="13"/>
        <v>Email instauration Abilify Maintena 960 mg_FR-AM2-2400029</v>
      </c>
      <c r="C423" s="3" t="str">
        <f>HYPERLINK("https://otsuka-europe-crm.veevavault.com/ui/#object/sent_email__v/VBLZ025E82GLW2P", "SE-000259067")</f>
        <v>SE-000259067</v>
      </c>
      <c r="D423" s="4" t="s">
        <v>11</v>
      </c>
      <c r="E423" s="5">
        <v>0</v>
      </c>
      <c r="F423" s="5">
        <v>0</v>
      </c>
      <c r="G423" s="5">
        <v>0</v>
      </c>
      <c r="H423" s="4" t="s">
        <v>11</v>
      </c>
      <c r="I423" s="5">
        <v>0</v>
      </c>
      <c r="J423" s="4">
        <v>45912.44021990741</v>
      </c>
    </row>
    <row r="424" spans="1:10" x14ac:dyDescent="0.2">
      <c r="A424" s="2" t="s">
        <v>10</v>
      </c>
      <c r="B424" s="3" t="str">
        <f t="shared" si="13"/>
        <v>Email instauration Abilify Maintena 960 mg_FR-AM2-2400029</v>
      </c>
      <c r="C424" s="3" t="str">
        <f>HYPERLINK("https://otsuka-europe-crm.veevavault.com/ui/#object/sent_email__v/VBLZ025E82GLX8D", "SE-000259071")</f>
        <v>SE-000259071</v>
      </c>
      <c r="D424" s="4">
        <v>45912.723946759259</v>
      </c>
      <c r="E424" s="5">
        <v>1</v>
      </c>
      <c r="F424" s="5">
        <v>2</v>
      </c>
      <c r="G424" s="5">
        <v>0</v>
      </c>
      <c r="H424" s="4" t="s">
        <v>11</v>
      </c>
      <c r="I424" s="5">
        <v>0</v>
      </c>
      <c r="J424" s="4">
        <v>45912.454467592594</v>
      </c>
    </row>
    <row r="425" spans="1:10" x14ac:dyDescent="0.2">
      <c r="A425" s="2" t="s">
        <v>10</v>
      </c>
      <c r="B425" s="3" t="str">
        <f t="shared" si="13"/>
        <v>Email instauration Abilify Maintena 960 mg_FR-AM2-2400029</v>
      </c>
      <c r="C425" s="3" t="str">
        <f>HYPERLINK("https://otsuka-europe-crm.veevavault.com/ui/#object/sent_email__v/VBLZ025E82GMFO9", "SE-000266879")</f>
        <v>SE-000266879</v>
      </c>
      <c r="D425" s="4" t="s">
        <v>11</v>
      </c>
      <c r="E425" s="5">
        <v>0</v>
      </c>
      <c r="F425" s="5">
        <v>0</v>
      </c>
      <c r="G425" s="5">
        <v>0</v>
      </c>
      <c r="H425" s="4" t="s">
        <v>11</v>
      </c>
      <c r="I425" s="5">
        <v>0</v>
      </c>
      <c r="J425" s="4">
        <v>45912.546736111108</v>
      </c>
    </row>
    <row r="426" spans="1:10" x14ac:dyDescent="0.2">
      <c r="A426" s="2" t="s">
        <v>10</v>
      </c>
      <c r="B426" s="3" t="str">
        <f t="shared" si="13"/>
        <v>Email instauration Abilify Maintena 960 mg_FR-AM2-2400029</v>
      </c>
      <c r="C426" s="3" t="str">
        <f>HYPERLINK("https://otsuka-europe-crm.veevavault.com/ui/#object/sent_email__v/VBLZ025E82GN3O5", "SE-000272796")</f>
        <v>SE-000272796</v>
      </c>
      <c r="D426" s="4">
        <v>45912.863113425927</v>
      </c>
      <c r="E426" s="5">
        <v>1</v>
      </c>
      <c r="F426" s="5">
        <v>1</v>
      </c>
      <c r="G426" s="5">
        <v>0</v>
      </c>
      <c r="H426" s="4" t="s">
        <v>11</v>
      </c>
      <c r="I426" s="5">
        <v>0</v>
      </c>
      <c r="J426" s="4">
        <v>45912.728263888886</v>
      </c>
    </row>
    <row r="427" spans="1:10" x14ac:dyDescent="0.2">
      <c r="A427" s="2" t="s">
        <v>10</v>
      </c>
      <c r="B427" s="3" t="str">
        <f t="shared" si="13"/>
        <v>Email instauration Abilify Maintena 960 mg_FR-AM2-2400029</v>
      </c>
      <c r="C427" s="3" t="str">
        <f>HYPERLINK("https://otsuka-europe-crm.veevavault.com/ui/#object/sent_email__v/VBLZ025E82GNYJA", "SE-000275507")</f>
        <v>SE-000275507</v>
      </c>
      <c r="D427" s="4" t="s">
        <v>11</v>
      </c>
      <c r="E427" s="5">
        <v>0</v>
      </c>
      <c r="F427" s="5">
        <v>0</v>
      </c>
      <c r="G427" s="5">
        <v>0</v>
      </c>
      <c r="H427" s="4" t="s">
        <v>11</v>
      </c>
      <c r="I427" s="5">
        <v>0</v>
      </c>
      <c r="J427" s="4">
        <v>45915.484178240738</v>
      </c>
    </row>
    <row r="428" spans="1:10" x14ac:dyDescent="0.2">
      <c r="A428" s="2" t="s">
        <v>10</v>
      </c>
      <c r="B428" s="3" t="str">
        <f t="shared" si="13"/>
        <v>Email instauration Abilify Maintena 960 mg_FR-AM2-2400029</v>
      </c>
      <c r="C428" s="3" t="str">
        <f>HYPERLINK("https://otsuka-europe-crm.veevavault.com/ui/#object/sent_email__v/VBLZ025E82GO1P5", "SE-000275509")</f>
        <v>SE-000275509</v>
      </c>
      <c r="D428" s="4" t="s">
        <v>11</v>
      </c>
      <c r="E428" s="5">
        <v>0</v>
      </c>
      <c r="F428" s="5">
        <v>0</v>
      </c>
      <c r="G428" s="5">
        <v>0</v>
      </c>
      <c r="H428" s="4" t="s">
        <v>11</v>
      </c>
      <c r="I428" s="5">
        <v>0</v>
      </c>
      <c r="J428" s="4">
        <v>45915.484837962962</v>
      </c>
    </row>
    <row r="429" spans="1:10" x14ac:dyDescent="0.2">
      <c r="A429" s="2" t="s">
        <v>10</v>
      </c>
      <c r="B429" s="3" t="str">
        <f t="shared" ref="B429:B492" si="14">HYPERLINK("https://otsuka-europe-crm.veevavault.com/ui/#object/approved_document__v/V5OZ025E82N8159", "Email instauration Abilify Maintena 960 mg_FR-AM2-2400029")</f>
        <v>Email instauration Abilify Maintena 960 mg_FR-AM2-2400029</v>
      </c>
      <c r="C429" s="3" t="str">
        <f>HYPERLINK("https://otsuka-europe-crm.veevavault.com/ui/#object/sent_email__v/VBLZ025E82GORXL", "SE-000275608")</f>
        <v>SE-000275608</v>
      </c>
      <c r="D429" s="4">
        <v>45916.310300925928</v>
      </c>
      <c r="E429" s="5">
        <v>1</v>
      </c>
      <c r="F429" s="5">
        <v>1</v>
      </c>
      <c r="G429" s="5">
        <v>0</v>
      </c>
      <c r="H429" s="4" t="s">
        <v>11</v>
      </c>
      <c r="I429" s="5">
        <v>0</v>
      </c>
      <c r="J429" s="4">
        <v>45915.799733796295</v>
      </c>
    </row>
    <row r="430" spans="1:10" x14ac:dyDescent="0.2">
      <c r="A430" s="2" t="s">
        <v>10</v>
      </c>
      <c r="B430" s="3" t="str">
        <f t="shared" si="14"/>
        <v>Email instauration Abilify Maintena 960 mg_FR-AM2-2400029</v>
      </c>
      <c r="C430" s="3" t="str">
        <f>HYPERLINK("https://otsuka-europe-crm.veevavault.com/ui/#object/sent_email__v/VBLZ025E82GOS0D", "SE-000275609")</f>
        <v>SE-000275609</v>
      </c>
      <c r="D430" s="4" t="s">
        <v>11</v>
      </c>
      <c r="E430" s="5">
        <v>0</v>
      </c>
      <c r="F430" s="5">
        <v>0</v>
      </c>
      <c r="G430" s="5">
        <v>0</v>
      </c>
      <c r="H430" s="4" t="s">
        <v>11</v>
      </c>
      <c r="I430" s="5">
        <v>0</v>
      </c>
      <c r="J430" s="4">
        <v>45915.801516203705</v>
      </c>
    </row>
    <row r="431" spans="1:10" x14ac:dyDescent="0.2">
      <c r="A431" s="2" t="s">
        <v>10</v>
      </c>
      <c r="B431" s="3" t="str">
        <f t="shared" si="14"/>
        <v>Email instauration Abilify Maintena 960 mg_FR-AM2-2400029</v>
      </c>
      <c r="C431" s="3" t="str">
        <f>HYPERLINK("https://otsuka-europe-crm.veevavault.com/ui/#object/sent_email__v/VBLZ025E82GPPVT", "SE-000275672")</f>
        <v>SE-000275672</v>
      </c>
      <c r="D431" s="4" t="s">
        <v>11</v>
      </c>
      <c r="E431" s="5">
        <v>0</v>
      </c>
      <c r="F431" s="5">
        <v>0</v>
      </c>
      <c r="G431" s="5">
        <v>0</v>
      </c>
      <c r="H431" s="4" t="s">
        <v>11</v>
      </c>
      <c r="I431" s="5">
        <v>0</v>
      </c>
      <c r="J431" s="4">
        <v>45916.563750000001</v>
      </c>
    </row>
    <row r="432" spans="1:10" x14ac:dyDescent="0.2">
      <c r="A432" s="2" t="s">
        <v>10</v>
      </c>
      <c r="B432" s="3" t="str">
        <f t="shared" si="14"/>
        <v>Email instauration Abilify Maintena 960 mg_FR-AM2-2400029</v>
      </c>
      <c r="C432" s="3" t="str">
        <f>HYPERLINK("https://otsuka-europe-crm.veevavault.com/ui/#object/sent_email__v/VBLZ025E82GPQ6X", "SE-000275675")</f>
        <v>SE-000275675</v>
      </c>
      <c r="D432" s="4" t="s">
        <v>11</v>
      </c>
      <c r="E432" s="5">
        <v>0</v>
      </c>
      <c r="F432" s="5">
        <v>0</v>
      </c>
      <c r="G432" s="5">
        <v>0</v>
      </c>
      <c r="H432" s="4" t="s">
        <v>11</v>
      </c>
      <c r="I432" s="5">
        <v>0</v>
      </c>
      <c r="J432" s="4">
        <v>45916.564953703702</v>
      </c>
    </row>
    <row r="433" spans="1:10" x14ac:dyDescent="0.2">
      <c r="A433" s="2" t="s">
        <v>10</v>
      </c>
      <c r="B433" s="3" t="str">
        <f t="shared" si="14"/>
        <v>Email instauration Abilify Maintena 960 mg_FR-AM2-2400029</v>
      </c>
      <c r="C433" s="3" t="str">
        <f>HYPERLINK("https://otsuka-europe-crm.veevavault.com/ui/#object/sent_email__v/VBLZ025E82GPQCH", "SE-000275677")</f>
        <v>SE-000275677</v>
      </c>
      <c r="D433" s="4">
        <v>45926.581134259257</v>
      </c>
      <c r="E433" s="5">
        <v>1</v>
      </c>
      <c r="F433" s="5">
        <v>1</v>
      </c>
      <c r="G433" s="5">
        <v>0</v>
      </c>
      <c r="H433" s="4" t="s">
        <v>11</v>
      </c>
      <c r="I433" s="5">
        <v>0</v>
      </c>
      <c r="J433" s="4">
        <v>45916.565706018519</v>
      </c>
    </row>
    <row r="434" spans="1:10" x14ac:dyDescent="0.2">
      <c r="A434" s="2" t="s">
        <v>10</v>
      </c>
      <c r="B434" s="3" t="str">
        <f t="shared" si="14"/>
        <v>Email instauration Abilify Maintena 960 mg_FR-AM2-2400029</v>
      </c>
      <c r="C434" s="3" t="str">
        <f>HYPERLINK("https://otsuka-europe-crm.veevavault.com/ui/#object/sent_email__v/VBLZ025E82GQ5P9", "SE-000275714")</f>
        <v>SE-000275714</v>
      </c>
      <c r="D434" s="4">
        <v>45928.721504629626</v>
      </c>
      <c r="E434" s="5">
        <v>1</v>
      </c>
      <c r="F434" s="5">
        <v>1</v>
      </c>
      <c r="G434" s="5">
        <v>0</v>
      </c>
      <c r="H434" s="4" t="s">
        <v>11</v>
      </c>
      <c r="I434" s="5">
        <v>0</v>
      </c>
      <c r="J434" s="4">
        <v>45916.668240740742</v>
      </c>
    </row>
    <row r="435" spans="1:10" x14ac:dyDescent="0.2">
      <c r="A435" s="2" t="s">
        <v>10</v>
      </c>
      <c r="B435" s="3" t="str">
        <f t="shared" si="14"/>
        <v>Email instauration Abilify Maintena 960 mg_FR-AM2-2400029</v>
      </c>
      <c r="C435" s="3" t="str">
        <f>HYPERLINK("https://otsuka-europe-crm.veevavault.com/ui/#object/sent_email__v/VBLZ025E82GQ5S1", "SE-000275715")</f>
        <v>SE-000275715</v>
      </c>
      <c r="D435" s="4" t="s">
        <v>11</v>
      </c>
      <c r="E435" s="5">
        <v>0</v>
      </c>
      <c r="F435" s="5">
        <v>0</v>
      </c>
      <c r="G435" s="5">
        <v>0</v>
      </c>
      <c r="H435" s="4" t="s">
        <v>11</v>
      </c>
      <c r="I435" s="5">
        <v>0</v>
      </c>
      <c r="J435" s="4">
        <v>45916.668657407405</v>
      </c>
    </row>
    <row r="436" spans="1:10" x14ac:dyDescent="0.2">
      <c r="A436" s="2" t="s">
        <v>10</v>
      </c>
      <c r="B436" s="3" t="str">
        <f t="shared" si="14"/>
        <v>Email instauration Abilify Maintena 960 mg_FR-AM2-2400029</v>
      </c>
      <c r="C436" s="3" t="str">
        <f>HYPERLINK("https://otsuka-europe-crm.veevavault.com/ui/#object/sent_email__v/VBLZ025E82GRNPP", "SE-000275954")</f>
        <v>SE-000275954</v>
      </c>
      <c r="D436" s="4" t="s">
        <v>11</v>
      </c>
      <c r="E436" s="5">
        <v>0</v>
      </c>
      <c r="F436" s="5">
        <v>0</v>
      </c>
      <c r="G436" s="5">
        <v>0</v>
      </c>
      <c r="H436" s="4" t="s">
        <v>11</v>
      </c>
      <c r="I436" s="5">
        <v>0</v>
      </c>
      <c r="J436" s="4">
        <v>45917.613854166666</v>
      </c>
    </row>
    <row r="437" spans="1:10" x14ac:dyDescent="0.2">
      <c r="A437" s="2" t="s">
        <v>10</v>
      </c>
      <c r="B437" s="3" t="str">
        <f t="shared" si="14"/>
        <v>Email instauration Abilify Maintena 960 mg_FR-AM2-2400029</v>
      </c>
      <c r="C437" s="3" t="str">
        <f>HYPERLINK("https://otsuka-europe-crm.veevavault.com/ui/#object/sent_email__v/VBLZ025E82GS2U5", "SE-000275994")</f>
        <v>SE-000275994</v>
      </c>
      <c r="D437" s="4">
        <v>45918.333379629628</v>
      </c>
      <c r="E437" s="5">
        <v>1</v>
      </c>
      <c r="F437" s="5">
        <v>1</v>
      </c>
      <c r="G437" s="5">
        <v>0</v>
      </c>
      <c r="H437" s="4" t="s">
        <v>11</v>
      </c>
      <c r="I437" s="5">
        <v>0</v>
      </c>
      <c r="J437" s="4">
        <v>45918.24763888889</v>
      </c>
    </row>
    <row r="438" spans="1:10" x14ac:dyDescent="0.2">
      <c r="A438" s="2" t="s">
        <v>10</v>
      </c>
      <c r="B438" s="3" t="str">
        <f t="shared" si="14"/>
        <v>Email instauration Abilify Maintena 960 mg_FR-AM2-2400029</v>
      </c>
      <c r="C438" s="3" t="str">
        <f>HYPERLINK("https://otsuka-europe-crm.veevavault.com/ui/#object/sent_email__v/VBLZ025E82GS2WX", "SE-000275995")</f>
        <v>SE-000275995</v>
      </c>
      <c r="D438" s="4" t="s">
        <v>11</v>
      </c>
      <c r="E438" s="5">
        <v>0</v>
      </c>
      <c r="F438" s="5">
        <v>0</v>
      </c>
      <c r="G438" s="5">
        <v>0</v>
      </c>
      <c r="H438" s="4" t="s">
        <v>11</v>
      </c>
      <c r="I438" s="5">
        <v>0</v>
      </c>
      <c r="J438" s="4">
        <v>45918.249861111108</v>
      </c>
    </row>
    <row r="439" spans="1:10" x14ac:dyDescent="0.2">
      <c r="A439" s="2" t="s">
        <v>10</v>
      </c>
      <c r="B439" s="3" t="str">
        <f t="shared" si="14"/>
        <v>Email instauration Abilify Maintena 960 mg_FR-AM2-2400029</v>
      </c>
      <c r="C439" s="3" t="str">
        <f>HYPERLINK("https://otsuka-europe-crm.veevavault.com/ui/#object/sent_email__v/VBLZ025E82GTGAP", "SE-000276686")</f>
        <v>SE-000276686</v>
      </c>
      <c r="D439" s="4" t="s">
        <v>11</v>
      </c>
      <c r="E439" s="5">
        <v>0</v>
      </c>
      <c r="F439" s="5">
        <v>0</v>
      </c>
      <c r="G439" s="5">
        <v>0</v>
      </c>
      <c r="H439" s="4" t="s">
        <v>11</v>
      </c>
      <c r="I439" s="5">
        <v>0</v>
      </c>
      <c r="J439" s="4">
        <v>45918.647627314815</v>
      </c>
    </row>
    <row r="440" spans="1:10" x14ac:dyDescent="0.2">
      <c r="A440" s="2" t="s">
        <v>10</v>
      </c>
      <c r="B440" s="3" t="str">
        <f t="shared" si="14"/>
        <v>Email instauration Abilify Maintena 960 mg_FR-AM2-2400029</v>
      </c>
      <c r="C440" s="3" t="str">
        <f>HYPERLINK("https://otsuka-europe-crm.veevavault.com/ui/#object/sent_email__v/VBLZ025E82GTJ89", "SE-000276689")</f>
        <v>SE-000276689</v>
      </c>
      <c r="D440" s="4" t="s">
        <v>11</v>
      </c>
      <c r="E440" s="5">
        <v>0</v>
      </c>
      <c r="F440" s="5">
        <v>0</v>
      </c>
      <c r="G440" s="5">
        <v>0</v>
      </c>
      <c r="H440" s="4" t="s">
        <v>11</v>
      </c>
      <c r="I440" s="5">
        <v>0</v>
      </c>
      <c r="J440" s="4">
        <v>45918.673854166664</v>
      </c>
    </row>
    <row r="441" spans="1:10" x14ac:dyDescent="0.2">
      <c r="A441" s="2" t="s">
        <v>10</v>
      </c>
      <c r="B441" s="3" t="str">
        <f t="shared" si="14"/>
        <v>Email instauration Abilify Maintena 960 mg_FR-AM2-2400029</v>
      </c>
      <c r="C441" s="3" t="str">
        <f>HYPERLINK("https://otsuka-europe-crm.veevavault.com/ui/#object/sent_email__v/VBLZ025E82GUF0P", "SE-000277192")</f>
        <v>SE-000277192</v>
      </c>
      <c r="D441" s="4">
        <v>45933.48847222222</v>
      </c>
      <c r="E441" s="5">
        <v>1</v>
      </c>
      <c r="F441" s="5">
        <v>1</v>
      </c>
      <c r="G441" s="5">
        <v>0</v>
      </c>
      <c r="H441" s="4" t="s">
        <v>11</v>
      </c>
      <c r="I441" s="5">
        <v>0</v>
      </c>
      <c r="J441" s="4">
        <v>45919.488946759258</v>
      </c>
    </row>
    <row r="442" spans="1:10" x14ac:dyDescent="0.2">
      <c r="A442" s="2" t="s">
        <v>10</v>
      </c>
      <c r="B442" s="3" t="str">
        <f t="shared" si="14"/>
        <v>Email instauration Abilify Maintena 960 mg_FR-AM2-2400029</v>
      </c>
      <c r="C442" s="3" t="str">
        <f>HYPERLINK("https://otsuka-europe-crm.veevavault.com/ui/#object/sent_email__v/VBLZ025E82GUFBT", "SE-000277193")</f>
        <v>SE-000277193</v>
      </c>
      <c r="D442" s="4">
        <v>45919.533877314818</v>
      </c>
      <c r="E442" s="5">
        <v>1</v>
      </c>
      <c r="F442" s="5">
        <v>2</v>
      </c>
      <c r="G442" s="5">
        <v>0</v>
      </c>
      <c r="H442" s="4" t="s">
        <v>11</v>
      </c>
      <c r="I442" s="5">
        <v>0</v>
      </c>
      <c r="J442" s="4">
        <v>45919.494120370371</v>
      </c>
    </row>
    <row r="443" spans="1:10" x14ac:dyDescent="0.2">
      <c r="A443" s="2" t="s">
        <v>10</v>
      </c>
      <c r="B443" s="3" t="str">
        <f t="shared" si="14"/>
        <v>Email instauration Abilify Maintena 960 mg_FR-AM2-2400029</v>
      </c>
      <c r="C443" s="3" t="str">
        <f>HYPERLINK("https://otsuka-europe-crm.veevavault.com/ui/#object/sent_email__v/VBLZ025E82GUIC5", "SE-000277211")</f>
        <v>SE-000277211</v>
      </c>
      <c r="D443" s="4">
        <v>45919.571226851855</v>
      </c>
      <c r="E443" s="5">
        <v>1</v>
      </c>
      <c r="F443" s="5">
        <v>1</v>
      </c>
      <c r="G443" s="5">
        <v>0</v>
      </c>
      <c r="H443" s="4" t="s">
        <v>11</v>
      </c>
      <c r="I443" s="5">
        <v>0</v>
      </c>
      <c r="J443" s="4">
        <v>45919.535405092596</v>
      </c>
    </row>
    <row r="444" spans="1:10" x14ac:dyDescent="0.2">
      <c r="A444" s="2" t="s">
        <v>10</v>
      </c>
      <c r="B444" s="3" t="str">
        <f t="shared" si="14"/>
        <v>Email instauration Abilify Maintena 960 mg_FR-AM2-2400029</v>
      </c>
      <c r="C444" s="3" t="str">
        <f>HYPERLINK("https://otsuka-europe-crm.veevavault.com/ui/#object/sent_email__v/VBLZ025E82GUIEX", "SE-000277212")</f>
        <v>SE-000277212</v>
      </c>
      <c r="D444" s="4" t="s">
        <v>11</v>
      </c>
      <c r="E444" s="5">
        <v>0</v>
      </c>
      <c r="F444" s="5">
        <v>0</v>
      </c>
      <c r="G444" s="5">
        <v>0</v>
      </c>
      <c r="H444" s="4" t="s">
        <v>11</v>
      </c>
      <c r="I444" s="5">
        <v>0</v>
      </c>
      <c r="J444" s="4">
        <v>45919.53601851852</v>
      </c>
    </row>
    <row r="445" spans="1:10" x14ac:dyDescent="0.2">
      <c r="A445" s="2" t="s">
        <v>10</v>
      </c>
      <c r="B445" s="3" t="str">
        <f t="shared" si="14"/>
        <v>Email instauration Abilify Maintena 960 mg_FR-AM2-2400029</v>
      </c>
      <c r="C445" s="3" t="str">
        <f>HYPERLINK("https://otsuka-europe-crm.veevavault.com/ui/#object/sent_email__v/VBLZ025E82GUKT1", "SE-000277296")</f>
        <v>SE-000277296</v>
      </c>
      <c r="D445" s="4" t="s">
        <v>11</v>
      </c>
      <c r="E445" s="5">
        <v>0</v>
      </c>
      <c r="F445" s="5">
        <v>0</v>
      </c>
      <c r="G445" s="5">
        <v>0</v>
      </c>
      <c r="H445" s="4" t="s">
        <v>11</v>
      </c>
      <c r="I445" s="5">
        <v>0</v>
      </c>
      <c r="J445" s="4">
        <v>45919.559907407405</v>
      </c>
    </row>
    <row r="446" spans="1:10" x14ac:dyDescent="0.2">
      <c r="A446" s="2" t="s">
        <v>10</v>
      </c>
      <c r="B446" s="3" t="str">
        <f t="shared" si="14"/>
        <v>Email instauration Abilify Maintena 960 mg_FR-AM2-2400029</v>
      </c>
      <c r="C446" s="3" t="str">
        <f>HYPERLINK("https://otsuka-europe-crm.veevavault.com/ui/#object/sent_email__v/VBLZ025E82GW82D", "SE-000279621")</f>
        <v>SE-000279621</v>
      </c>
      <c r="D446" s="4">
        <v>45922.689409722225</v>
      </c>
      <c r="E446" s="5">
        <v>1</v>
      </c>
      <c r="F446" s="5">
        <v>1</v>
      </c>
      <c r="G446" s="5">
        <v>0</v>
      </c>
      <c r="H446" s="4" t="s">
        <v>11</v>
      </c>
      <c r="I446" s="5">
        <v>0</v>
      </c>
      <c r="J446" s="4">
        <v>45922.627187500002</v>
      </c>
    </row>
    <row r="447" spans="1:10" x14ac:dyDescent="0.2">
      <c r="A447" s="2" t="s">
        <v>10</v>
      </c>
      <c r="B447" s="3" t="str">
        <f t="shared" si="14"/>
        <v>Email instauration Abilify Maintena 960 mg_FR-AM2-2400029</v>
      </c>
      <c r="C447" s="3" t="str">
        <f>HYPERLINK("https://otsuka-europe-crm.veevavault.com/ui/#object/sent_email__v/VBLZ025E82GW855", "SE-000279622")</f>
        <v>SE-000279622</v>
      </c>
      <c r="D447" s="4" t="s">
        <v>11</v>
      </c>
      <c r="E447" s="5">
        <v>0</v>
      </c>
      <c r="F447" s="5">
        <v>0</v>
      </c>
      <c r="G447" s="5">
        <v>0</v>
      </c>
      <c r="H447" s="4" t="s">
        <v>11</v>
      </c>
      <c r="I447" s="5">
        <v>0</v>
      </c>
      <c r="J447" s="4">
        <v>45922.627534722225</v>
      </c>
    </row>
    <row r="448" spans="1:10" x14ac:dyDescent="0.2">
      <c r="A448" s="2" t="s">
        <v>10</v>
      </c>
      <c r="B448" s="3" t="str">
        <f t="shared" si="14"/>
        <v>Email instauration Abilify Maintena 960 mg_FR-AM2-2400029</v>
      </c>
      <c r="C448" s="3" t="str">
        <f>HYPERLINK("https://otsuka-europe-crm.veevavault.com/ui/#object/sent_email__v/VBLZ025E82GW87X", "SE-000279623")</f>
        <v>SE-000279623</v>
      </c>
      <c r="D448" s="4" t="s">
        <v>11</v>
      </c>
      <c r="E448" s="5">
        <v>0</v>
      </c>
      <c r="F448" s="5">
        <v>0</v>
      </c>
      <c r="G448" s="5">
        <v>0</v>
      </c>
      <c r="H448" s="4" t="s">
        <v>11</v>
      </c>
      <c r="I448" s="5">
        <v>0</v>
      </c>
      <c r="J448" s="4">
        <v>45922.627627314818</v>
      </c>
    </row>
    <row r="449" spans="1:10" x14ac:dyDescent="0.2">
      <c r="A449" s="2" t="s">
        <v>10</v>
      </c>
      <c r="B449" s="3" t="str">
        <f t="shared" si="14"/>
        <v>Email instauration Abilify Maintena 960 mg_FR-AM2-2400029</v>
      </c>
      <c r="C449" s="3" t="str">
        <f>HYPERLINK("https://otsuka-europe-crm.veevavault.com/ui/#object/sent_email__v/VBLZ025E82GWN6T", "SE-000279759")</f>
        <v>SE-000279759</v>
      </c>
      <c r="D449" s="4" t="s">
        <v>11</v>
      </c>
      <c r="E449" s="5">
        <v>0</v>
      </c>
      <c r="F449" s="5">
        <v>0</v>
      </c>
      <c r="G449" s="5">
        <v>0</v>
      </c>
      <c r="H449" s="4" t="s">
        <v>11</v>
      </c>
      <c r="I449" s="5">
        <v>0</v>
      </c>
      <c r="J449" s="4">
        <v>45922.745057870372</v>
      </c>
    </row>
    <row r="450" spans="1:10" x14ac:dyDescent="0.2">
      <c r="A450" s="2" t="s">
        <v>10</v>
      </c>
      <c r="B450" s="3" t="str">
        <f t="shared" si="14"/>
        <v>Email instauration Abilify Maintena 960 mg_FR-AM2-2400029</v>
      </c>
      <c r="C450" s="3" t="str">
        <f>HYPERLINK("https://otsuka-europe-crm.veevavault.com/ui/#object/sent_email__v/VBLZ025E82GWN9L", "SE-000279760")</f>
        <v>SE-000279760</v>
      </c>
      <c r="D450" s="4" t="s">
        <v>11</v>
      </c>
      <c r="E450" s="5">
        <v>0</v>
      </c>
      <c r="F450" s="5">
        <v>0</v>
      </c>
      <c r="G450" s="5">
        <v>0</v>
      </c>
      <c r="H450" s="4" t="s">
        <v>11</v>
      </c>
      <c r="I450" s="5">
        <v>0</v>
      </c>
      <c r="J450" s="4">
        <v>45922.745763888888</v>
      </c>
    </row>
    <row r="451" spans="1:10" x14ac:dyDescent="0.2">
      <c r="A451" s="2" t="s">
        <v>10</v>
      </c>
      <c r="B451" s="3" t="str">
        <f t="shared" si="14"/>
        <v>Email instauration Abilify Maintena 960 mg_FR-AM2-2400029</v>
      </c>
      <c r="C451" s="3" t="str">
        <f>HYPERLINK("https://otsuka-europe-crm.veevavault.com/ui/#object/sent_email__v/VBLZ025E82GWNCD", "SE-000279761")</f>
        <v>SE-000279761</v>
      </c>
      <c r="D451" s="4">
        <v>45923.451979166668</v>
      </c>
      <c r="E451" s="5">
        <v>1</v>
      </c>
      <c r="F451" s="5">
        <v>1</v>
      </c>
      <c r="G451" s="5">
        <v>0</v>
      </c>
      <c r="H451" s="4" t="s">
        <v>11</v>
      </c>
      <c r="I451" s="5">
        <v>0</v>
      </c>
      <c r="J451" s="4">
        <v>45922.746446759258</v>
      </c>
    </row>
    <row r="452" spans="1:10" x14ac:dyDescent="0.2">
      <c r="A452" s="2" t="s">
        <v>10</v>
      </c>
      <c r="B452" s="3" t="str">
        <f t="shared" si="14"/>
        <v>Email instauration Abilify Maintena 960 mg_FR-AM2-2400029</v>
      </c>
      <c r="C452" s="3" t="str">
        <f>HYPERLINK("https://otsuka-europe-crm.veevavault.com/ui/#object/sent_email__v/VBLZ025E82GWNF5", "SE-000279762")</f>
        <v>SE-000279762</v>
      </c>
      <c r="D452" s="4" t="s">
        <v>11</v>
      </c>
      <c r="E452" s="5">
        <v>0</v>
      </c>
      <c r="F452" s="5">
        <v>0</v>
      </c>
      <c r="G452" s="5">
        <v>0</v>
      </c>
      <c r="H452" s="4" t="s">
        <v>11</v>
      </c>
      <c r="I452" s="5">
        <v>0</v>
      </c>
      <c r="J452" s="4">
        <v>45922.746898148151</v>
      </c>
    </row>
    <row r="453" spans="1:10" x14ac:dyDescent="0.2">
      <c r="A453" s="2" t="s">
        <v>10</v>
      </c>
      <c r="B453" s="3" t="str">
        <f t="shared" si="14"/>
        <v>Email instauration Abilify Maintena 960 mg_FR-AM2-2400029</v>
      </c>
      <c r="C453" s="3" t="str">
        <f>HYPERLINK("https://otsuka-europe-crm.veevavault.com/ui/#object/sent_email__v/VBLZ025E82GWNHX", "SE-000279763")</f>
        <v>SE-000279763</v>
      </c>
      <c r="D453" s="4" t="s">
        <v>11</v>
      </c>
      <c r="E453" s="5">
        <v>0</v>
      </c>
      <c r="F453" s="5">
        <v>0</v>
      </c>
      <c r="G453" s="5">
        <v>0</v>
      </c>
      <c r="H453" s="4" t="s">
        <v>11</v>
      </c>
      <c r="I453" s="5">
        <v>0</v>
      </c>
      <c r="J453" s="4">
        <v>45922.747534722221</v>
      </c>
    </row>
    <row r="454" spans="1:10" x14ac:dyDescent="0.2">
      <c r="A454" s="2" t="s">
        <v>10</v>
      </c>
      <c r="B454" s="3" t="str">
        <f t="shared" si="14"/>
        <v>Email instauration Abilify Maintena 960 mg_FR-AM2-2400029</v>
      </c>
      <c r="C454" s="3" t="str">
        <f>HYPERLINK("https://otsuka-europe-crm.veevavault.com/ui/#object/sent_email__v/VBLZ025E82GWNKP", "SE-000279764")</f>
        <v>SE-000279764</v>
      </c>
      <c r="D454" s="4">
        <v>45924.925844907404</v>
      </c>
      <c r="E454" s="5">
        <v>1</v>
      </c>
      <c r="F454" s="5">
        <v>2</v>
      </c>
      <c r="G454" s="5">
        <v>0</v>
      </c>
      <c r="H454" s="4" t="s">
        <v>11</v>
      </c>
      <c r="I454" s="5">
        <v>0</v>
      </c>
      <c r="J454" s="4">
        <v>45922.748414351852</v>
      </c>
    </row>
    <row r="455" spans="1:10" x14ac:dyDescent="0.2">
      <c r="A455" s="2" t="s">
        <v>10</v>
      </c>
      <c r="B455" s="3" t="str">
        <f t="shared" si="14"/>
        <v>Email instauration Abilify Maintena 960 mg_FR-AM2-2400029</v>
      </c>
      <c r="C455" s="3" t="str">
        <f>HYPERLINK("https://otsuka-europe-crm.veevavault.com/ui/#object/sent_email__v/VBLZ025E82GWNNH", "SE-000279765")</f>
        <v>SE-000279765</v>
      </c>
      <c r="D455" s="4">
        <v>45923.317326388889</v>
      </c>
      <c r="E455" s="5">
        <v>1</v>
      </c>
      <c r="F455" s="5">
        <v>2</v>
      </c>
      <c r="G455" s="5">
        <v>0</v>
      </c>
      <c r="H455" s="4" t="s">
        <v>11</v>
      </c>
      <c r="I455" s="5">
        <v>0</v>
      </c>
      <c r="J455" s="4">
        <v>45922.749618055554</v>
      </c>
    </row>
    <row r="456" spans="1:10" x14ac:dyDescent="0.2">
      <c r="A456" s="2" t="s">
        <v>10</v>
      </c>
      <c r="B456" s="3" t="str">
        <f t="shared" si="14"/>
        <v>Email instauration Abilify Maintena 960 mg_FR-AM2-2400029</v>
      </c>
      <c r="C456" s="3" t="str">
        <f>HYPERLINK("https://otsuka-europe-crm.veevavault.com/ui/#object/sent_email__v/VBLZ025E82GWOYP", "SE-000279771")</f>
        <v>SE-000279771</v>
      </c>
      <c r="D456" s="4" t="s">
        <v>11</v>
      </c>
      <c r="E456" s="5">
        <v>0</v>
      </c>
      <c r="F456" s="5">
        <v>0</v>
      </c>
      <c r="G456" s="5">
        <v>0</v>
      </c>
      <c r="H456" s="4" t="s">
        <v>11</v>
      </c>
      <c r="I456" s="5">
        <v>0</v>
      </c>
      <c r="J456" s="4">
        <v>45922.836412037039</v>
      </c>
    </row>
    <row r="457" spans="1:10" x14ac:dyDescent="0.2">
      <c r="A457" s="2" t="s">
        <v>10</v>
      </c>
      <c r="B457" s="3" t="str">
        <f t="shared" si="14"/>
        <v>Email instauration Abilify Maintena 960 mg_FR-AM2-2400029</v>
      </c>
      <c r="C457" s="3" t="str">
        <f>HYPERLINK("https://otsuka-europe-crm.veevavault.com/ui/#object/sent_email__v/VBLZ025E82GX6XX", "SE-000280131")</f>
        <v>SE-000280131</v>
      </c>
      <c r="D457" s="4" t="s">
        <v>11</v>
      </c>
      <c r="E457" s="5">
        <v>0</v>
      </c>
      <c r="F457" s="5">
        <v>0</v>
      </c>
      <c r="G457" s="5">
        <v>0</v>
      </c>
      <c r="H457" s="4" t="s">
        <v>11</v>
      </c>
      <c r="I457" s="5">
        <v>0</v>
      </c>
      <c r="J457" s="4">
        <v>45923.465636574074</v>
      </c>
    </row>
    <row r="458" spans="1:10" x14ac:dyDescent="0.2">
      <c r="A458" s="2" t="s">
        <v>10</v>
      </c>
      <c r="B458" s="3" t="str">
        <f t="shared" si="14"/>
        <v>Email instauration Abilify Maintena 960 mg_FR-AM2-2400029</v>
      </c>
      <c r="C458" s="3" t="str">
        <f>HYPERLINK("https://otsuka-europe-crm.veevavault.com/ui/#object/sent_email__v/VBLZ025E82GX70P", "SE-000280132")</f>
        <v>SE-000280132</v>
      </c>
      <c r="D458" s="4">
        <v>45923.507060185184</v>
      </c>
      <c r="E458" s="5">
        <v>1</v>
      </c>
      <c r="F458" s="5">
        <v>1</v>
      </c>
      <c r="G458" s="5">
        <v>0</v>
      </c>
      <c r="H458" s="4" t="s">
        <v>11</v>
      </c>
      <c r="I458" s="5">
        <v>0</v>
      </c>
      <c r="J458" s="4">
        <v>45923.466192129628</v>
      </c>
    </row>
    <row r="459" spans="1:10" x14ac:dyDescent="0.2">
      <c r="A459" s="2" t="s">
        <v>10</v>
      </c>
      <c r="B459" s="3" t="str">
        <f t="shared" si="14"/>
        <v>Email instauration Abilify Maintena 960 mg_FR-AM2-2400029</v>
      </c>
      <c r="C459" s="3" t="str">
        <f>HYPERLINK("https://otsuka-europe-crm.veevavault.com/ui/#object/sent_email__v/VBLZ025E82GXIO5", "SE-000280191")</f>
        <v>SE-000280191</v>
      </c>
      <c r="D459" s="4" t="s">
        <v>11</v>
      </c>
      <c r="E459" s="5">
        <v>0</v>
      </c>
      <c r="F459" s="5">
        <v>0</v>
      </c>
      <c r="G459" s="5">
        <v>0</v>
      </c>
      <c r="H459" s="4" t="s">
        <v>11</v>
      </c>
      <c r="I459" s="5">
        <v>0</v>
      </c>
      <c r="J459" s="4">
        <v>45923.582476851851</v>
      </c>
    </row>
    <row r="460" spans="1:10" x14ac:dyDescent="0.2">
      <c r="A460" s="2" t="s">
        <v>10</v>
      </c>
      <c r="B460" s="3" t="str">
        <f t="shared" si="14"/>
        <v>Email instauration Abilify Maintena 960 mg_FR-AM2-2400029</v>
      </c>
      <c r="C460" s="3" t="str">
        <f>HYPERLINK("https://otsuka-europe-crm.veevavault.com/ui/#object/sent_email__v/VBLZ025E82GYCAT", "SE-000280389")</f>
        <v>SE-000280389</v>
      </c>
      <c r="D460" s="4" t="s">
        <v>11</v>
      </c>
      <c r="E460" s="5">
        <v>0</v>
      </c>
      <c r="F460" s="5">
        <v>0</v>
      </c>
      <c r="G460" s="5">
        <v>0</v>
      </c>
      <c r="H460" s="4" t="s">
        <v>11</v>
      </c>
      <c r="I460" s="5">
        <v>0</v>
      </c>
      <c r="J460" s="4">
        <v>45924.439085648148</v>
      </c>
    </row>
    <row r="461" spans="1:10" x14ac:dyDescent="0.2">
      <c r="A461" s="2" t="s">
        <v>10</v>
      </c>
      <c r="B461" s="3" t="str">
        <f t="shared" si="14"/>
        <v>Email instauration Abilify Maintena 960 mg_FR-AM2-2400029</v>
      </c>
      <c r="C461" s="3" t="str">
        <f>HYPERLINK("https://otsuka-europe-crm.veevavault.com/ui/#object/sent_email__v/VBLZ025E82GYX21", "SE-000280451")</f>
        <v>SE-000280451</v>
      </c>
      <c r="D461" s="4" t="s">
        <v>11</v>
      </c>
      <c r="E461" s="5">
        <v>0</v>
      </c>
      <c r="F461" s="5">
        <v>0</v>
      </c>
      <c r="G461" s="5">
        <v>0</v>
      </c>
      <c r="H461" s="4" t="s">
        <v>11</v>
      </c>
      <c r="I461" s="5">
        <v>0</v>
      </c>
      <c r="J461" s="4">
        <v>45924.600208333337</v>
      </c>
    </row>
    <row r="462" spans="1:10" x14ac:dyDescent="0.2">
      <c r="A462" s="2" t="s">
        <v>10</v>
      </c>
      <c r="B462" s="3" t="str">
        <f t="shared" si="14"/>
        <v>Email instauration Abilify Maintena 960 mg_FR-AM2-2400029</v>
      </c>
      <c r="C462" s="3" t="str">
        <f>HYPERLINK("https://otsuka-europe-crm.veevavault.com/ui/#object/sent_email__v/VBLZ025E82GZ5GT", "SE-000280606")</f>
        <v>SE-000280606</v>
      </c>
      <c r="D462" s="4">
        <v>45924.773194444446</v>
      </c>
      <c r="E462" s="5">
        <v>1</v>
      </c>
      <c r="F462" s="5">
        <v>2</v>
      </c>
      <c r="G462" s="5">
        <v>0</v>
      </c>
      <c r="H462" s="4" t="s">
        <v>11</v>
      </c>
      <c r="I462" s="5">
        <v>0</v>
      </c>
      <c r="J462" s="4">
        <v>45924.695057870369</v>
      </c>
    </row>
    <row r="463" spans="1:10" x14ac:dyDescent="0.2">
      <c r="A463" s="2" t="s">
        <v>10</v>
      </c>
      <c r="B463" s="3" t="str">
        <f t="shared" si="14"/>
        <v>Email instauration Abilify Maintena 960 mg_FR-AM2-2400029</v>
      </c>
      <c r="C463" s="3" t="str">
        <f>HYPERLINK("https://otsuka-europe-crm.veevavault.com/ui/#object/sent_email__v/VBLZ025E82GZ5JL", "SE-000280607")</f>
        <v>SE-000280607</v>
      </c>
      <c r="D463" s="4" t="s">
        <v>11</v>
      </c>
      <c r="E463" s="5">
        <v>0</v>
      </c>
      <c r="F463" s="5">
        <v>0</v>
      </c>
      <c r="G463" s="5">
        <v>0</v>
      </c>
      <c r="H463" s="4" t="s">
        <v>11</v>
      </c>
      <c r="I463" s="5">
        <v>0</v>
      </c>
      <c r="J463" s="4">
        <v>45924.695590277777</v>
      </c>
    </row>
    <row r="464" spans="1:10" x14ac:dyDescent="0.2">
      <c r="A464" s="2" t="s">
        <v>10</v>
      </c>
      <c r="B464" s="3" t="str">
        <f t="shared" si="14"/>
        <v>Email instauration Abilify Maintena 960 mg_FR-AM2-2400029</v>
      </c>
      <c r="C464" s="3" t="str">
        <f>HYPERLINK("https://otsuka-europe-crm.veevavault.com/ui/#object/sent_email__v/VBLZ025E82GZ70D", "SE-000280608")</f>
        <v>SE-000280608</v>
      </c>
      <c r="D464" s="4">
        <v>45925.361597222225</v>
      </c>
      <c r="E464" s="5">
        <v>1</v>
      </c>
      <c r="F464" s="5">
        <v>2</v>
      </c>
      <c r="G464" s="5">
        <v>0</v>
      </c>
      <c r="H464" s="4" t="s">
        <v>11</v>
      </c>
      <c r="I464" s="5">
        <v>0</v>
      </c>
      <c r="J464" s="4">
        <v>45924.719537037039</v>
      </c>
    </row>
    <row r="465" spans="1:10" x14ac:dyDescent="0.2">
      <c r="A465" s="2" t="s">
        <v>10</v>
      </c>
      <c r="B465" s="3" t="str">
        <f t="shared" si="14"/>
        <v>Email instauration Abilify Maintena 960 mg_FR-AM2-2400029</v>
      </c>
      <c r="C465" s="3" t="str">
        <f>HYPERLINK("https://otsuka-europe-crm.veevavault.com/ui/#object/sent_email__v/VBLZ025E82H0DG5", "SE-000280826")</f>
        <v>SE-000280826</v>
      </c>
      <c r="D465" s="4" t="s">
        <v>11</v>
      </c>
      <c r="E465" s="5">
        <v>0</v>
      </c>
      <c r="F465" s="5">
        <v>0</v>
      </c>
      <c r="G465" s="5">
        <v>0</v>
      </c>
      <c r="H465" s="4" t="s">
        <v>11</v>
      </c>
      <c r="I465" s="5">
        <v>0</v>
      </c>
      <c r="J465" s="4">
        <v>45925.581967592596</v>
      </c>
    </row>
    <row r="466" spans="1:10" x14ac:dyDescent="0.2">
      <c r="A466" s="2" t="s">
        <v>10</v>
      </c>
      <c r="B466" s="3" t="str">
        <f t="shared" si="14"/>
        <v>Email instauration Abilify Maintena 960 mg_FR-AM2-2400029</v>
      </c>
      <c r="C466" s="3" t="str">
        <f>HYPERLINK("https://otsuka-europe-crm.veevavault.com/ui/#object/sent_email__v/VBLZ025E82H0DOH", "SE-000280827")</f>
        <v>SE-000280827</v>
      </c>
      <c r="D466" s="4" t="s">
        <v>11</v>
      </c>
      <c r="E466" s="5">
        <v>0</v>
      </c>
      <c r="F466" s="5">
        <v>0</v>
      </c>
      <c r="G466" s="5">
        <v>0</v>
      </c>
      <c r="H466" s="4" t="s">
        <v>11</v>
      </c>
      <c r="I466" s="5">
        <v>0</v>
      </c>
      <c r="J466" s="4">
        <v>45925.582476851851</v>
      </c>
    </row>
    <row r="467" spans="1:10" x14ac:dyDescent="0.2">
      <c r="A467" s="2" t="s">
        <v>10</v>
      </c>
      <c r="B467" s="3" t="str">
        <f t="shared" si="14"/>
        <v>Email instauration Abilify Maintena 960 mg_FR-AM2-2400029</v>
      </c>
      <c r="C467" s="3" t="str">
        <f>HYPERLINK("https://otsuka-europe-crm.veevavault.com/ui/#object/sent_email__v/VBLZ025E82H0DR9", "SE-000280828")</f>
        <v>SE-000280828</v>
      </c>
      <c r="D467" s="4" t="s">
        <v>11</v>
      </c>
      <c r="E467" s="5">
        <v>0</v>
      </c>
      <c r="F467" s="5">
        <v>0</v>
      </c>
      <c r="G467" s="5">
        <v>0</v>
      </c>
      <c r="H467" s="4" t="s">
        <v>11</v>
      </c>
      <c r="I467" s="5">
        <v>0</v>
      </c>
      <c r="J467" s="4">
        <v>45925.583645833336</v>
      </c>
    </row>
    <row r="468" spans="1:10" x14ac:dyDescent="0.2">
      <c r="A468" s="2" t="s">
        <v>10</v>
      </c>
      <c r="B468" s="3" t="str">
        <f t="shared" si="14"/>
        <v>Email instauration Abilify Maintena 960 mg_FR-AM2-2400029</v>
      </c>
      <c r="C468" s="3" t="str">
        <f>HYPERLINK("https://otsuka-europe-crm.veevavault.com/ui/#object/sent_email__v/VBLZ025E82H0G85", "SE-000280829")</f>
        <v>SE-000280829</v>
      </c>
      <c r="D468" s="4" t="s">
        <v>11</v>
      </c>
      <c r="E468" s="5">
        <v>0</v>
      </c>
      <c r="F468" s="5">
        <v>0</v>
      </c>
      <c r="G468" s="5">
        <v>0</v>
      </c>
      <c r="H468" s="4" t="s">
        <v>11</v>
      </c>
      <c r="I468" s="5">
        <v>0</v>
      </c>
      <c r="J468" s="4">
        <v>45925.605636574073</v>
      </c>
    </row>
    <row r="469" spans="1:10" x14ac:dyDescent="0.2">
      <c r="A469" s="2" t="s">
        <v>10</v>
      </c>
      <c r="B469" s="3" t="str">
        <f t="shared" si="14"/>
        <v>Email instauration Abilify Maintena 960 mg_FR-AM2-2400029</v>
      </c>
      <c r="C469" s="3" t="str">
        <f>HYPERLINK("https://otsuka-europe-crm.veevavault.com/ui/#object/sent_email__v/VBLZ025E82H0GOT", "SE-000280830")</f>
        <v>SE-000280830</v>
      </c>
      <c r="D469" s="4" t="s">
        <v>11</v>
      </c>
      <c r="E469" s="5">
        <v>0</v>
      </c>
      <c r="F469" s="5">
        <v>0</v>
      </c>
      <c r="G469" s="5">
        <v>0</v>
      </c>
      <c r="H469" s="4" t="s">
        <v>11</v>
      </c>
      <c r="I469" s="5">
        <v>0</v>
      </c>
      <c r="J469" s="4">
        <v>45925.607187499998</v>
      </c>
    </row>
    <row r="470" spans="1:10" x14ac:dyDescent="0.2">
      <c r="A470" s="2" t="s">
        <v>10</v>
      </c>
      <c r="B470" s="3" t="str">
        <f t="shared" si="14"/>
        <v>Email instauration Abilify Maintena 960 mg_FR-AM2-2400029</v>
      </c>
      <c r="C470" s="3" t="str">
        <f>HYPERLINK("https://otsuka-europe-crm.veevavault.com/ui/#object/sent_email__v/VBLZ025E82H0V49", "SE-000280941")</f>
        <v>SE-000280941</v>
      </c>
      <c r="D470" s="4" t="s">
        <v>11</v>
      </c>
      <c r="E470" s="5">
        <v>0</v>
      </c>
      <c r="F470" s="5">
        <v>0</v>
      </c>
      <c r="G470" s="5">
        <v>0</v>
      </c>
      <c r="H470" s="4" t="s">
        <v>11</v>
      </c>
      <c r="I470" s="5">
        <v>0</v>
      </c>
      <c r="J470" s="4">
        <v>45925.735266203701</v>
      </c>
    </row>
    <row r="471" spans="1:10" x14ac:dyDescent="0.2">
      <c r="A471" s="2" t="s">
        <v>10</v>
      </c>
      <c r="B471" s="3" t="str">
        <f t="shared" si="14"/>
        <v>Email instauration Abilify Maintena 960 mg_FR-AM2-2400029</v>
      </c>
      <c r="C471" s="3" t="str">
        <f>HYPERLINK("https://otsuka-europe-crm.veevavault.com/ui/#object/sent_email__v/VBLZ025E82H15J9", "SE-000281024")</f>
        <v>SE-000281024</v>
      </c>
      <c r="D471" s="4" t="s">
        <v>11</v>
      </c>
      <c r="E471" s="5">
        <v>0</v>
      </c>
      <c r="F471" s="5">
        <v>0</v>
      </c>
      <c r="G471" s="5">
        <v>0</v>
      </c>
      <c r="H471" s="4" t="s">
        <v>11</v>
      </c>
      <c r="I471" s="5">
        <v>0</v>
      </c>
      <c r="J471" s="4">
        <v>45926.383773148147</v>
      </c>
    </row>
    <row r="472" spans="1:10" x14ac:dyDescent="0.2">
      <c r="A472" s="2" t="s">
        <v>10</v>
      </c>
      <c r="B472" s="3" t="str">
        <f t="shared" si="14"/>
        <v>Email instauration Abilify Maintena 960 mg_FR-AM2-2400029</v>
      </c>
      <c r="C472" s="3" t="str">
        <f>HYPERLINK("https://otsuka-europe-crm.veevavault.com/ui/#object/sent_email__v/VBLZ025E82H17DX", "SE-000281029")</f>
        <v>SE-000281029</v>
      </c>
      <c r="D472" s="4" t="s">
        <v>11</v>
      </c>
      <c r="E472" s="5">
        <v>0</v>
      </c>
      <c r="F472" s="5">
        <v>0</v>
      </c>
      <c r="G472" s="5">
        <v>0</v>
      </c>
      <c r="H472" s="4" t="s">
        <v>11</v>
      </c>
      <c r="I472" s="5">
        <v>0</v>
      </c>
      <c r="J472" s="4">
        <v>45926.401145833333</v>
      </c>
    </row>
    <row r="473" spans="1:10" x14ac:dyDescent="0.2">
      <c r="A473" s="2" t="s">
        <v>10</v>
      </c>
      <c r="B473" s="3" t="str">
        <f t="shared" si="14"/>
        <v>Email instauration Abilify Maintena 960 mg_FR-AM2-2400029</v>
      </c>
      <c r="C473" s="3" t="str">
        <f>HYPERLINK("https://otsuka-europe-crm.veevavault.com/ui/#object/sent_email__v/VBLZ025E82H17M9", "SE-000281030")</f>
        <v>SE-000281030</v>
      </c>
      <c r="D473" s="4" t="s">
        <v>11</v>
      </c>
      <c r="E473" s="5">
        <v>0</v>
      </c>
      <c r="F473" s="5">
        <v>0</v>
      </c>
      <c r="G473" s="5">
        <v>0</v>
      </c>
      <c r="H473" s="4" t="s">
        <v>11</v>
      </c>
      <c r="I473" s="5">
        <v>0</v>
      </c>
      <c r="J473" s="4">
        <v>45926.543611111112</v>
      </c>
    </row>
    <row r="474" spans="1:10" x14ac:dyDescent="0.2">
      <c r="A474" s="2" t="s">
        <v>10</v>
      </c>
      <c r="B474" s="3" t="str">
        <f t="shared" si="14"/>
        <v>Email instauration Abilify Maintena 960 mg_FR-AM2-2400029</v>
      </c>
      <c r="C474" s="3" t="str">
        <f>HYPERLINK("https://otsuka-europe-crm.veevavault.com/ui/#object/sent_email__v/VBLZ025E82H13DI", "SE-000281034")</f>
        <v>SE-000281034</v>
      </c>
      <c r="D474" s="4" t="s">
        <v>11</v>
      </c>
      <c r="E474" s="5">
        <v>0</v>
      </c>
      <c r="F474" s="5">
        <v>0</v>
      </c>
      <c r="G474" s="5">
        <v>0</v>
      </c>
      <c r="H474" s="4" t="s">
        <v>11</v>
      </c>
      <c r="I474" s="5">
        <v>0</v>
      </c>
      <c r="J474" s="4">
        <v>45926.418773148151</v>
      </c>
    </row>
    <row r="475" spans="1:10" x14ac:dyDescent="0.2">
      <c r="A475" s="2" t="s">
        <v>10</v>
      </c>
      <c r="B475" s="3" t="str">
        <f t="shared" si="14"/>
        <v>Email instauration Abilify Maintena 960 mg_FR-AM2-2400029</v>
      </c>
      <c r="C475" s="3" t="str">
        <f>HYPERLINK("https://otsuka-europe-crm.veevavault.com/ui/#object/sent_email__v/VBLZ025E82H1DBT", "SE-000281039")</f>
        <v>SE-000281039</v>
      </c>
      <c r="D475" s="4">
        <v>45926.447696759256</v>
      </c>
      <c r="E475" s="5">
        <v>1</v>
      </c>
      <c r="F475" s="5">
        <v>1</v>
      </c>
      <c r="G475" s="5">
        <v>0</v>
      </c>
      <c r="H475" s="4" t="s">
        <v>11</v>
      </c>
      <c r="I475" s="5">
        <v>0</v>
      </c>
      <c r="J475" s="4">
        <v>45926.447557870371</v>
      </c>
    </row>
    <row r="476" spans="1:10" x14ac:dyDescent="0.2">
      <c r="A476" s="2" t="s">
        <v>10</v>
      </c>
      <c r="B476" s="3" t="str">
        <f t="shared" si="14"/>
        <v>Email instauration Abilify Maintena 960 mg_FR-AM2-2400029</v>
      </c>
      <c r="C476" s="3" t="str">
        <f>HYPERLINK("https://otsuka-europe-crm.veevavault.com/ui/#object/sent_email__v/VBLZ025E82H1EY5", "SE-000281043")</f>
        <v>SE-000281043</v>
      </c>
      <c r="D476" s="4">
        <v>45927.437106481484</v>
      </c>
      <c r="E476" s="5">
        <v>1</v>
      </c>
      <c r="F476" s="5">
        <v>6</v>
      </c>
      <c r="G476" s="5">
        <v>0</v>
      </c>
      <c r="H476" s="4" t="s">
        <v>11</v>
      </c>
      <c r="I476" s="5">
        <v>0</v>
      </c>
      <c r="J476" s="4">
        <v>45926.457094907404</v>
      </c>
    </row>
    <row r="477" spans="1:10" x14ac:dyDescent="0.2">
      <c r="A477" s="2" t="s">
        <v>10</v>
      </c>
      <c r="B477" s="3" t="str">
        <f t="shared" si="14"/>
        <v>Email instauration Abilify Maintena 960 mg_FR-AM2-2400029</v>
      </c>
      <c r="C477" s="3" t="str">
        <f>HYPERLINK("https://otsuka-europe-crm.veevavault.com/ui/#object/sent_email__v/VBLZ025E82H1TZT", "SE-000281424")</f>
        <v>SE-000281424</v>
      </c>
      <c r="D477" s="4" t="s">
        <v>11</v>
      </c>
      <c r="E477" s="5">
        <v>0</v>
      </c>
      <c r="F477" s="5">
        <v>0</v>
      </c>
      <c r="G477" s="5">
        <v>0</v>
      </c>
      <c r="H477" s="4" t="s">
        <v>11</v>
      </c>
      <c r="I477" s="5">
        <v>0</v>
      </c>
      <c r="J477" s="4">
        <v>45926.588506944441</v>
      </c>
    </row>
    <row r="478" spans="1:10" x14ac:dyDescent="0.2">
      <c r="A478" s="2" t="s">
        <v>10</v>
      </c>
      <c r="B478" s="3" t="str">
        <f t="shared" si="14"/>
        <v>Email instauration Abilify Maintena 960 mg_FR-AM2-2400029</v>
      </c>
      <c r="C478" s="3" t="str">
        <f>HYPERLINK("https://otsuka-europe-crm.veevavault.com/ui/#object/sent_email__v/VBLZ025E82H1UGH", "SE-000281425")</f>
        <v>SE-000281425</v>
      </c>
      <c r="D478" s="4" t="s">
        <v>11</v>
      </c>
      <c r="E478" s="5">
        <v>0</v>
      </c>
      <c r="F478" s="5">
        <v>0</v>
      </c>
      <c r="G478" s="5">
        <v>0</v>
      </c>
      <c r="H478" s="4" t="s">
        <v>11</v>
      </c>
      <c r="I478" s="5">
        <v>0</v>
      </c>
      <c r="J478" s="4">
        <v>45926.58902777778</v>
      </c>
    </row>
    <row r="479" spans="1:10" x14ac:dyDescent="0.2">
      <c r="A479" s="2" t="s">
        <v>10</v>
      </c>
      <c r="B479" s="3" t="str">
        <f t="shared" si="14"/>
        <v>Email instauration Abilify Maintena 960 mg_FR-AM2-2400029</v>
      </c>
      <c r="C479" s="3" t="str">
        <f>HYPERLINK("https://otsuka-europe-crm.veevavault.com/ui/#object/sent_email__v/VBLZ025E82H34G1", "SE-000281543")</f>
        <v>SE-000281543</v>
      </c>
      <c r="D479" s="4" t="s">
        <v>11</v>
      </c>
      <c r="E479" s="5">
        <v>0</v>
      </c>
      <c r="F479" s="5">
        <v>0</v>
      </c>
      <c r="G479" s="5">
        <v>0</v>
      </c>
      <c r="H479" s="4" t="s">
        <v>11</v>
      </c>
      <c r="I479" s="5">
        <v>0</v>
      </c>
      <c r="J479" s="4">
        <v>45929.480925925927</v>
      </c>
    </row>
    <row r="480" spans="1:10" x14ac:dyDescent="0.2">
      <c r="A480" s="2" t="s">
        <v>10</v>
      </c>
      <c r="B480" s="3" t="str">
        <f t="shared" si="14"/>
        <v>Email instauration Abilify Maintena 960 mg_FR-AM2-2400029</v>
      </c>
      <c r="C480" s="3" t="str">
        <f>HYPERLINK("https://otsuka-europe-crm.veevavault.com/ui/#object/sent_email__v/VBLZ025E82H34TX", "SE-000281544")</f>
        <v>SE-000281544</v>
      </c>
      <c r="D480" s="4">
        <v>45929.484050925923</v>
      </c>
      <c r="E480" s="5">
        <v>1</v>
      </c>
      <c r="F480" s="5">
        <v>6</v>
      </c>
      <c r="G480" s="5">
        <v>1</v>
      </c>
      <c r="H480" s="4">
        <v>45929.484050925923</v>
      </c>
      <c r="I480" s="5">
        <v>6</v>
      </c>
      <c r="J480" s="4">
        <v>45929.483900462961</v>
      </c>
    </row>
    <row r="481" spans="1:10" x14ac:dyDescent="0.2">
      <c r="A481" s="2" t="s">
        <v>10</v>
      </c>
      <c r="B481" s="3" t="str">
        <f t="shared" si="14"/>
        <v>Email instauration Abilify Maintena 960 mg_FR-AM2-2400029</v>
      </c>
      <c r="C481" s="3" t="str">
        <f>HYPERLINK("https://otsuka-europe-crm.veevavault.com/ui/#object/sent_email__v/VBLZ025E82H34ZH", "SE-000281545")</f>
        <v>SE-000281545</v>
      </c>
      <c r="D481" s="4">
        <v>45972.68310185185</v>
      </c>
      <c r="E481" s="5">
        <v>1</v>
      </c>
      <c r="F481" s="5">
        <v>9</v>
      </c>
      <c r="G481" s="5">
        <v>1</v>
      </c>
      <c r="H481" s="4">
        <v>45930.265474537038</v>
      </c>
      <c r="I481" s="5">
        <v>1</v>
      </c>
      <c r="J481" s="4">
        <v>45929.484479166669</v>
      </c>
    </row>
    <row r="482" spans="1:10" x14ac:dyDescent="0.2">
      <c r="A482" s="2" t="s">
        <v>10</v>
      </c>
      <c r="B482" s="3" t="str">
        <f t="shared" si="14"/>
        <v>Email instauration Abilify Maintena 960 mg_FR-AM2-2400029</v>
      </c>
      <c r="C482" s="3" t="str">
        <f>HYPERLINK("https://otsuka-europe-crm.veevavault.com/ui/#object/sent_email__v/VBLZ025E82H3MYP", "SE-000281574")</f>
        <v>SE-000281574</v>
      </c>
      <c r="D482" s="4">
        <v>45929.648877314816</v>
      </c>
      <c r="E482" s="5">
        <v>1</v>
      </c>
      <c r="F482" s="5">
        <v>1</v>
      </c>
      <c r="G482" s="5">
        <v>0</v>
      </c>
      <c r="H482" s="4" t="s">
        <v>11</v>
      </c>
      <c r="I482" s="5">
        <v>0</v>
      </c>
      <c r="J482" s="4">
        <v>45929.621145833335</v>
      </c>
    </row>
    <row r="483" spans="1:10" x14ac:dyDescent="0.2">
      <c r="A483" s="2" t="s">
        <v>10</v>
      </c>
      <c r="B483" s="3" t="str">
        <f t="shared" si="14"/>
        <v>Email instauration Abilify Maintena 960 mg_FR-AM2-2400029</v>
      </c>
      <c r="C483" s="3" t="str">
        <f>HYPERLINK("https://otsuka-europe-crm.veevavault.com/ui/#object/sent_email__v/VBLZ025E82H3N49", "SE-000281575")</f>
        <v>SE-000281575</v>
      </c>
      <c r="D483" s="4">
        <v>45929.635069444441</v>
      </c>
      <c r="E483" s="5">
        <v>1</v>
      </c>
      <c r="F483" s="5">
        <v>2</v>
      </c>
      <c r="G483" s="5">
        <v>0</v>
      </c>
      <c r="H483" s="4" t="s">
        <v>11</v>
      </c>
      <c r="I483" s="5">
        <v>0</v>
      </c>
      <c r="J483" s="4">
        <v>45929.621446759258</v>
      </c>
    </row>
    <row r="484" spans="1:10" x14ac:dyDescent="0.2">
      <c r="A484" s="2" t="s">
        <v>10</v>
      </c>
      <c r="B484" s="3" t="str">
        <f t="shared" si="14"/>
        <v>Email instauration Abilify Maintena 960 mg_FR-AM2-2400029</v>
      </c>
      <c r="C484" s="3" t="str">
        <f>HYPERLINK("https://otsuka-europe-crm.veevavault.com/ui/#object/sent_email__v/VBLZ025E82H3N71", "SE-000281576")</f>
        <v>SE-000281576</v>
      </c>
      <c r="D484" s="4">
        <v>45935.598819444444</v>
      </c>
      <c r="E484" s="5">
        <v>1</v>
      </c>
      <c r="F484" s="5">
        <v>1</v>
      </c>
      <c r="G484" s="5">
        <v>0</v>
      </c>
      <c r="H484" s="4" t="s">
        <v>11</v>
      </c>
      <c r="I484" s="5">
        <v>0</v>
      </c>
      <c r="J484" s="4">
        <v>45929.621712962966</v>
      </c>
    </row>
    <row r="485" spans="1:10" x14ac:dyDescent="0.2">
      <c r="A485" s="2" t="s">
        <v>10</v>
      </c>
      <c r="B485" s="3" t="str">
        <f t="shared" si="14"/>
        <v>Email instauration Abilify Maintena 960 mg_FR-AM2-2400029</v>
      </c>
      <c r="C485" s="3" t="str">
        <f>HYPERLINK("https://otsuka-europe-crm.veevavault.com/ui/#object/sent_email__v/VBLZ025E82H3W82", "SE-000281589")</f>
        <v>SE-000281589</v>
      </c>
      <c r="D485" s="4">
        <v>45930.416828703703</v>
      </c>
      <c r="E485" s="5">
        <v>1</v>
      </c>
      <c r="F485" s="5">
        <v>1</v>
      </c>
      <c r="G485" s="5">
        <v>0</v>
      </c>
      <c r="H485" s="4" t="s">
        <v>11</v>
      </c>
      <c r="I485" s="5">
        <v>0</v>
      </c>
      <c r="J485" s="4">
        <v>45929.74324074074</v>
      </c>
    </row>
    <row r="486" spans="1:10" x14ac:dyDescent="0.2">
      <c r="A486" s="2" t="s">
        <v>10</v>
      </c>
      <c r="B486" s="3" t="str">
        <f t="shared" si="14"/>
        <v>Email instauration Abilify Maintena 960 mg_FR-AM2-2400029</v>
      </c>
      <c r="C486" s="3" t="str">
        <f>HYPERLINK("https://otsuka-europe-crm.veevavault.com/ui/#object/sent_email__v/VBLZ025E82H40B9", "SE-000281590")</f>
        <v>SE-000281590</v>
      </c>
      <c r="D486" s="4" t="s">
        <v>11</v>
      </c>
      <c r="E486" s="5">
        <v>0</v>
      </c>
      <c r="F486" s="5">
        <v>0</v>
      </c>
      <c r="G486" s="5">
        <v>0</v>
      </c>
      <c r="H486" s="4" t="s">
        <v>11</v>
      </c>
      <c r="I486" s="5">
        <v>0</v>
      </c>
      <c r="J486" s="4">
        <v>45929.744849537034</v>
      </c>
    </row>
    <row r="487" spans="1:10" x14ac:dyDescent="0.2">
      <c r="A487" s="2" t="s">
        <v>10</v>
      </c>
      <c r="B487" s="3" t="str">
        <f t="shared" si="14"/>
        <v>Email instauration Abilify Maintena 960 mg_FR-AM2-2400029</v>
      </c>
      <c r="C487" s="3" t="str">
        <f>HYPERLINK("https://otsuka-europe-crm.veevavault.com/ui/#object/sent_email__v/VBLZ025E82H3VJ5", "SE-000281591")</f>
        <v>SE-000281591</v>
      </c>
      <c r="D487" s="4" t="s">
        <v>11</v>
      </c>
      <c r="E487" s="5">
        <v>0</v>
      </c>
      <c r="F487" s="5">
        <v>0</v>
      </c>
      <c r="G487" s="5">
        <v>0</v>
      </c>
      <c r="H487" s="4" t="s">
        <v>11</v>
      </c>
      <c r="I487" s="5">
        <v>0</v>
      </c>
      <c r="J487" s="4">
        <v>45929.749328703707</v>
      </c>
    </row>
    <row r="488" spans="1:10" x14ac:dyDescent="0.2">
      <c r="A488" s="2" t="s">
        <v>10</v>
      </c>
      <c r="B488" s="3" t="str">
        <f t="shared" si="14"/>
        <v>Email instauration Abilify Maintena 960 mg_FR-AM2-2400029</v>
      </c>
      <c r="C488" s="3" t="str">
        <f>HYPERLINK("https://otsuka-europe-crm.veevavault.com/ui/#object/sent_email__v/VBLZ025E82H42EA", "SE-000281640")</f>
        <v>SE-000281640</v>
      </c>
      <c r="D488" s="4" t="s">
        <v>11</v>
      </c>
      <c r="E488" s="5">
        <v>0</v>
      </c>
      <c r="F488" s="5">
        <v>0</v>
      </c>
      <c r="G488" s="5">
        <v>0</v>
      </c>
      <c r="H488" s="4" t="s">
        <v>11</v>
      </c>
      <c r="I488" s="5">
        <v>0</v>
      </c>
      <c r="J488" s="4">
        <v>45929.923888888887</v>
      </c>
    </row>
    <row r="489" spans="1:10" x14ac:dyDescent="0.2">
      <c r="A489" s="2" t="s">
        <v>10</v>
      </c>
      <c r="B489" s="3" t="str">
        <f t="shared" si="14"/>
        <v>Email instauration Abilify Maintena 960 mg_FR-AM2-2400029</v>
      </c>
      <c r="C489" s="3" t="str">
        <f>HYPERLINK("https://otsuka-europe-crm.veevavault.com/ui/#object/sent_email__v/VBLZ025E82H45K6", "SE-000281642")</f>
        <v>SE-000281642</v>
      </c>
      <c r="D489" s="4" t="s">
        <v>11</v>
      </c>
      <c r="E489" s="5">
        <v>0</v>
      </c>
      <c r="F489" s="5">
        <v>0</v>
      </c>
      <c r="G489" s="5">
        <v>0</v>
      </c>
      <c r="H489" s="4" t="s">
        <v>11</v>
      </c>
      <c r="I489" s="5">
        <v>0</v>
      </c>
      <c r="J489" s="4">
        <v>45930.377129629633</v>
      </c>
    </row>
    <row r="490" spans="1:10" x14ac:dyDescent="0.2">
      <c r="A490" s="2" t="s">
        <v>10</v>
      </c>
      <c r="B490" s="3" t="str">
        <f t="shared" si="14"/>
        <v>Email instauration Abilify Maintena 960 mg_FR-AM2-2400029</v>
      </c>
      <c r="C490" s="3" t="str">
        <f>HYPERLINK("https://otsuka-europe-crm.veevavault.com/ui/#object/sent_email__v/VBLZ025E82H45MX", "SE-000281643")</f>
        <v>SE-000281643</v>
      </c>
      <c r="D490" s="4" t="s">
        <v>11</v>
      </c>
      <c r="E490" s="5">
        <v>0</v>
      </c>
      <c r="F490" s="5">
        <v>0</v>
      </c>
      <c r="G490" s="5">
        <v>0</v>
      </c>
      <c r="H490" s="4" t="s">
        <v>11</v>
      </c>
      <c r="I490" s="5">
        <v>0</v>
      </c>
      <c r="J490" s="4">
        <v>45930.335543981484</v>
      </c>
    </row>
    <row r="491" spans="1:10" x14ac:dyDescent="0.2">
      <c r="A491" s="2" t="s">
        <v>10</v>
      </c>
      <c r="B491" s="3" t="str">
        <f t="shared" si="14"/>
        <v>Email instauration Abilify Maintena 960 mg_FR-AM2-2400029</v>
      </c>
      <c r="C491" s="3" t="str">
        <f>HYPERLINK("https://otsuka-europe-crm.veevavault.com/ui/#object/sent_email__v/VBLZ025E82H4X9D", "SE-000281972")</f>
        <v>SE-000281972</v>
      </c>
      <c r="D491" s="4" t="s">
        <v>11</v>
      </c>
      <c r="E491" s="5">
        <v>0</v>
      </c>
      <c r="F491" s="5">
        <v>0</v>
      </c>
      <c r="G491" s="5">
        <v>0</v>
      </c>
      <c r="H491" s="4" t="s">
        <v>11</v>
      </c>
      <c r="I491" s="5">
        <v>0</v>
      </c>
      <c r="J491" s="4">
        <v>45930.492199074077</v>
      </c>
    </row>
    <row r="492" spans="1:10" x14ac:dyDescent="0.2">
      <c r="A492" s="2" t="s">
        <v>10</v>
      </c>
      <c r="B492" s="3" t="str">
        <f t="shared" si="14"/>
        <v>Email instauration Abilify Maintena 960 mg_FR-AM2-2400029</v>
      </c>
      <c r="C492" s="3" t="str">
        <f>HYPERLINK("https://otsuka-europe-crm.veevavault.com/ui/#object/sent_email__v/VBLZ025E82H4XC5", "SE-000281973")</f>
        <v>SE-000281973</v>
      </c>
      <c r="D492" s="4">
        <v>45930.73982638889</v>
      </c>
      <c r="E492" s="5">
        <v>1</v>
      </c>
      <c r="F492" s="5">
        <v>1</v>
      </c>
      <c r="G492" s="5">
        <v>0</v>
      </c>
      <c r="H492" s="4" t="s">
        <v>11</v>
      </c>
      <c r="I492" s="5">
        <v>0</v>
      </c>
      <c r="J492" s="4">
        <v>45930.492395833331</v>
      </c>
    </row>
    <row r="493" spans="1:10" x14ac:dyDescent="0.2">
      <c r="A493" s="2" t="s">
        <v>10</v>
      </c>
      <c r="B493" s="3" t="str">
        <f t="shared" ref="B493:B556" si="15">HYPERLINK("https://otsuka-europe-crm.veevavault.com/ui/#object/approved_document__v/V5OZ025E82N8159", "Email instauration Abilify Maintena 960 mg_FR-AM2-2400029")</f>
        <v>Email instauration Abilify Maintena 960 mg_FR-AM2-2400029</v>
      </c>
      <c r="C493" s="3" t="str">
        <f>HYPERLINK("https://otsuka-europe-crm.veevavault.com/ui/#object/sent_email__v/VBLZ025E82H54L9", "SE-000282251")</f>
        <v>SE-000282251</v>
      </c>
      <c r="D493" s="4">
        <v>46070.633576388886</v>
      </c>
      <c r="E493" s="5">
        <v>1</v>
      </c>
      <c r="F493" s="5">
        <v>5</v>
      </c>
      <c r="G493" s="5">
        <v>0</v>
      </c>
      <c r="H493" s="4" t="s">
        <v>11</v>
      </c>
      <c r="I493" s="5">
        <v>0</v>
      </c>
      <c r="J493" s="4">
        <v>45930.567499999997</v>
      </c>
    </row>
    <row r="494" spans="1:10" x14ac:dyDescent="0.2">
      <c r="A494" s="2" t="s">
        <v>10</v>
      </c>
      <c r="B494" s="3" t="str">
        <f t="shared" si="15"/>
        <v>Email instauration Abilify Maintena 960 mg_FR-AM2-2400029</v>
      </c>
      <c r="C494" s="3" t="str">
        <f>HYPERLINK("https://otsuka-europe-crm.veevavault.com/ui/#object/sent_email__v/VBLZ025E82H5DJH", "SE-000282293")</f>
        <v>SE-000282293</v>
      </c>
      <c r="D494" s="4">
        <v>45966.56763888889</v>
      </c>
      <c r="E494" s="5">
        <v>1</v>
      </c>
      <c r="F494" s="5">
        <v>1</v>
      </c>
      <c r="G494" s="5">
        <v>0</v>
      </c>
      <c r="H494" s="4" t="s">
        <v>11</v>
      </c>
      <c r="I494" s="5">
        <v>0</v>
      </c>
      <c r="J494" s="4">
        <v>45930.620891203704</v>
      </c>
    </row>
    <row r="495" spans="1:10" x14ac:dyDescent="0.2">
      <c r="A495" s="2" t="s">
        <v>10</v>
      </c>
      <c r="B495" s="3" t="str">
        <f t="shared" si="15"/>
        <v>Email instauration Abilify Maintena 960 mg_FR-AM2-2400029</v>
      </c>
      <c r="C495" s="3" t="str">
        <f>HYPERLINK("https://otsuka-europe-crm.veevavault.com/ui/#object/sent_email__v/VBLZ025E82H6891", "SE-000282606")</f>
        <v>SE-000282606</v>
      </c>
      <c r="D495" s="4">
        <v>45933.514293981483</v>
      </c>
      <c r="E495" s="5">
        <v>1</v>
      </c>
      <c r="F495" s="5">
        <v>1</v>
      </c>
      <c r="G495" s="5">
        <v>0</v>
      </c>
      <c r="H495" s="4" t="s">
        <v>11</v>
      </c>
      <c r="I495" s="5">
        <v>0</v>
      </c>
      <c r="J495" s="4">
        <v>45931.442696759259</v>
      </c>
    </row>
    <row r="496" spans="1:10" x14ac:dyDescent="0.2">
      <c r="A496" s="2" t="s">
        <v>10</v>
      </c>
      <c r="B496" s="3" t="str">
        <f t="shared" si="15"/>
        <v>Email instauration Abilify Maintena 960 mg_FR-AM2-2400029</v>
      </c>
      <c r="C496" s="3" t="str">
        <f>HYPERLINK("https://otsuka-europe-crm.veevavault.com/ui/#object/sent_email__v/VBLZ025E82H68SH", "SE-000282611")</f>
        <v>SE-000282611</v>
      </c>
      <c r="D496" s="4">
        <v>45931.59138888889</v>
      </c>
      <c r="E496" s="5">
        <v>1</v>
      </c>
      <c r="F496" s="5">
        <v>1</v>
      </c>
      <c r="G496" s="5">
        <v>0</v>
      </c>
      <c r="H496" s="4" t="s">
        <v>11</v>
      </c>
      <c r="I496" s="5">
        <v>0</v>
      </c>
      <c r="J496" s="4">
        <v>45931.443726851852</v>
      </c>
    </row>
    <row r="497" spans="1:10" x14ac:dyDescent="0.2">
      <c r="A497" s="2" t="s">
        <v>10</v>
      </c>
      <c r="B497" s="3" t="str">
        <f t="shared" si="15"/>
        <v>Email instauration Abilify Maintena 960 mg_FR-AM2-2400029</v>
      </c>
      <c r="C497" s="3" t="str">
        <f>HYPERLINK("https://otsuka-europe-crm.veevavault.com/ui/#object/sent_email__v/VBLZ025E82H68SI", "SE-000282612")</f>
        <v>SE-000282612</v>
      </c>
      <c r="D497" s="4">
        <v>45931.794340277775</v>
      </c>
      <c r="E497" s="5">
        <v>1</v>
      </c>
      <c r="F497" s="5">
        <v>1</v>
      </c>
      <c r="G497" s="5">
        <v>0</v>
      </c>
      <c r="H497" s="4" t="s">
        <v>11</v>
      </c>
      <c r="I497" s="5">
        <v>0</v>
      </c>
      <c r="J497" s="4">
        <v>45931.443738425929</v>
      </c>
    </row>
    <row r="498" spans="1:10" x14ac:dyDescent="0.2">
      <c r="A498" s="2" t="s">
        <v>10</v>
      </c>
      <c r="B498" s="3" t="str">
        <f t="shared" si="15"/>
        <v>Email instauration Abilify Maintena 960 mg_FR-AM2-2400029</v>
      </c>
      <c r="C498" s="3" t="str">
        <f>HYPERLINK("https://otsuka-europe-crm.veevavault.com/ui/#object/sent_email__v/VBLZ025E82H6N55", "SE-000282663")</f>
        <v>SE-000282663</v>
      </c>
      <c r="D498" s="4" t="s">
        <v>11</v>
      </c>
      <c r="E498" s="5">
        <v>0</v>
      </c>
      <c r="F498" s="5">
        <v>0</v>
      </c>
      <c r="G498" s="5">
        <v>0</v>
      </c>
      <c r="H498" s="4" t="s">
        <v>11</v>
      </c>
      <c r="I498" s="5">
        <v>0</v>
      </c>
      <c r="J498" s="4">
        <v>45931.54587962963</v>
      </c>
    </row>
    <row r="499" spans="1:10" x14ac:dyDescent="0.2">
      <c r="A499" s="2" t="s">
        <v>10</v>
      </c>
      <c r="B499" s="3" t="str">
        <f t="shared" si="15"/>
        <v>Email instauration Abilify Maintena 960 mg_FR-AM2-2400029</v>
      </c>
      <c r="C499" s="3" t="str">
        <f>HYPERLINK("https://otsuka-europe-crm.veevavault.com/ui/#object/sent_email__v/VBLZ025E82H6NAP", "SE-000282664")</f>
        <v>SE-000282664</v>
      </c>
      <c r="D499" s="4">
        <v>45931.580821759257</v>
      </c>
      <c r="E499" s="5">
        <v>1</v>
      </c>
      <c r="F499" s="5">
        <v>1</v>
      </c>
      <c r="G499" s="5">
        <v>0</v>
      </c>
      <c r="H499" s="4" t="s">
        <v>11</v>
      </c>
      <c r="I499" s="5">
        <v>0</v>
      </c>
      <c r="J499" s="4">
        <v>45931.546840277777</v>
      </c>
    </row>
    <row r="500" spans="1:10" x14ac:dyDescent="0.2">
      <c r="A500" s="2" t="s">
        <v>10</v>
      </c>
      <c r="B500" s="3" t="str">
        <f t="shared" si="15"/>
        <v>Email instauration Abilify Maintena 960 mg_FR-AM2-2400029</v>
      </c>
      <c r="C500" s="3" t="str">
        <f>HYPERLINK("https://otsuka-europe-crm.veevavault.com/ui/#object/sent_email__v/VBLZ025E82H6NG9", "SE-000282665")</f>
        <v>SE-000282665</v>
      </c>
      <c r="D500" s="4">
        <v>45935.650127314817</v>
      </c>
      <c r="E500" s="5">
        <v>1</v>
      </c>
      <c r="F500" s="5">
        <v>6</v>
      </c>
      <c r="G500" s="5">
        <v>0</v>
      </c>
      <c r="H500" s="4" t="s">
        <v>11</v>
      </c>
      <c r="I500" s="5">
        <v>0</v>
      </c>
      <c r="J500" s="4">
        <v>45931.547407407408</v>
      </c>
    </row>
    <row r="501" spans="1:10" x14ac:dyDescent="0.2">
      <c r="A501" s="2" t="s">
        <v>10</v>
      </c>
      <c r="B501" s="3" t="str">
        <f t="shared" si="15"/>
        <v>Email instauration Abilify Maintena 960 mg_FR-AM2-2400029</v>
      </c>
      <c r="C501" s="3" t="str">
        <f>HYPERLINK("https://otsuka-europe-crm.veevavault.com/ui/#object/sent_email__v/VBLZ025E82H6NJ1", "SE-000282666")</f>
        <v>SE-000282666</v>
      </c>
      <c r="D501" s="4" t="s">
        <v>11</v>
      </c>
      <c r="E501" s="5">
        <v>0</v>
      </c>
      <c r="F501" s="5">
        <v>0</v>
      </c>
      <c r="G501" s="5">
        <v>0</v>
      </c>
      <c r="H501" s="4" t="s">
        <v>11</v>
      </c>
      <c r="I501" s="5">
        <v>0</v>
      </c>
      <c r="J501" s="4">
        <v>45931.547997685186</v>
      </c>
    </row>
    <row r="502" spans="1:10" x14ac:dyDescent="0.2">
      <c r="A502" s="2" t="s">
        <v>10</v>
      </c>
      <c r="B502" s="3" t="str">
        <f t="shared" si="15"/>
        <v>Email instauration Abilify Maintena 960 mg_FR-AM2-2400029</v>
      </c>
      <c r="C502" s="3" t="str">
        <f>HYPERLINK("https://otsuka-europe-crm.veevavault.com/ui/#object/sent_email__v/VBLZ025E82H7HMD", "SE-000282861")</f>
        <v>SE-000282861</v>
      </c>
      <c r="D502" s="4" t="s">
        <v>11</v>
      </c>
      <c r="E502" s="5">
        <v>0</v>
      </c>
      <c r="F502" s="5">
        <v>0</v>
      </c>
      <c r="G502" s="5">
        <v>0</v>
      </c>
      <c r="H502" s="4" t="s">
        <v>11</v>
      </c>
      <c r="I502" s="5">
        <v>0</v>
      </c>
      <c r="J502" s="4">
        <v>45932.407557870371</v>
      </c>
    </row>
    <row r="503" spans="1:10" x14ac:dyDescent="0.2">
      <c r="A503" s="2" t="s">
        <v>10</v>
      </c>
      <c r="B503" s="3" t="str">
        <f t="shared" si="15"/>
        <v>Email instauration Abilify Maintena 960 mg_FR-AM2-2400029</v>
      </c>
      <c r="C503" s="3" t="str">
        <f>HYPERLINK("https://otsuka-europe-crm.veevavault.com/ui/#object/sent_email__v/VBLZ025E82H8HF9", "SE-000283027")</f>
        <v>SE-000283027</v>
      </c>
      <c r="D503" s="4" t="s">
        <v>11</v>
      </c>
      <c r="E503" s="5">
        <v>0</v>
      </c>
      <c r="F503" s="5">
        <v>0</v>
      </c>
      <c r="G503" s="5">
        <v>0</v>
      </c>
      <c r="H503" s="4" t="s">
        <v>11</v>
      </c>
      <c r="I503" s="5">
        <v>0</v>
      </c>
      <c r="J503" s="4">
        <v>45932.659421296295</v>
      </c>
    </row>
    <row r="504" spans="1:10" x14ac:dyDescent="0.2">
      <c r="A504" s="2" t="s">
        <v>10</v>
      </c>
      <c r="B504" s="3" t="str">
        <f t="shared" si="15"/>
        <v>Email instauration Abilify Maintena 960 mg_FR-AM2-2400029</v>
      </c>
      <c r="C504" s="3" t="str">
        <f>HYPERLINK("https://otsuka-europe-crm.veevavault.com/ui/#object/sent_email__v/VBLZ025E82H8HNL", "SE-000283029")</f>
        <v>SE-000283029</v>
      </c>
      <c r="D504" s="4">
        <v>45935.745405092595</v>
      </c>
      <c r="E504" s="5">
        <v>1</v>
      </c>
      <c r="F504" s="5">
        <v>8</v>
      </c>
      <c r="G504" s="5">
        <v>0</v>
      </c>
      <c r="H504" s="4" t="s">
        <v>11</v>
      </c>
      <c r="I504" s="5">
        <v>0</v>
      </c>
      <c r="J504" s="4">
        <v>45932.660011574073</v>
      </c>
    </row>
    <row r="505" spans="1:10" x14ac:dyDescent="0.2">
      <c r="A505" s="2" t="s">
        <v>10</v>
      </c>
      <c r="B505" s="3" t="str">
        <f t="shared" si="15"/>
        <v>Email instauration Abilify Maintena 960 mg_FR-AM2-2400029</v>
      </c>
      <c r="C505" s="3" t="str">
        <f>HYPERLINK("https://otsuka-europe-crm.veevavault.com/ui/#object/sent_email__v/VBLZ025E82H8HQD", "SE-000283030")</f>
        <v>SE-000283030</v>
      </c>
      <c r="D505" s="4">
        <v>45932.660277777781</v>
      </c>
      <c r="E505" s="5">
        <v>1</v>
      </c>
      <c r="F505" s="5">
        <v>1</v>
      </c>
      <c r="G505" s="5">
        <v>0</v>
      </c>
      <c r="H505" s="4" t="s">
        <v>11</v>
      </c>
      <c r="I505" s="5">
        <v>0</v>
      </c>
      <c r="J505" s="4">
        <v>45932.660196759258</v>
      </c>
    </row>
    <row r="506" spans="1:10" x14ac:dyDescent="0.2">
      <c r="A506" s="2" t="s">
        <v>10</v>
      </c>
      <c r="B506" s="3" t="str">
        <f t="shared" si="15"/>
        <v>Email instauration Abilify Maintena 960 mg_FR-AM2-2400029</v>
      </c>
      <c r="C506" s="3" t="str">
        <f>HYPERLINK("https://otsuka-europe-crm.veevavault.com/ui/#object/sent_email__v/VBLZ025E82HCOW1", "SE-000283986")</f>
        <v>SE-000283986</v>
      </c>
      <c r="D506" s="4" t="s">
        <v>11</v>
      </c>
      <c r="E506" s="5">
        <v>0</v>
      </c>
      <c r="F506" s="5">
        <v>0</v>
      </c>
      <c r="G506" s="5">
        <v>0</v>
      </c>
      <c r="H506" s="4" t="s">
        <v>11</v>
      </c>
      <c r="I506" s="5">
        <v>0</v>
      </c>
      <c r="J506" s="4">
        <v>45937.375127314815</v>
      </c>
    </row>
    <row r="507" spans="1:10" x14ac:dyDescent="0.2">
      <c r="A507" s="2" t="s">
        <v>10</v>
      </c>
      <c r="B507" s="3" t="str">
        <f t="shared" si="15"/>
        <v>Email instauration Abilify Maintena 960 mg_FR-AM2-2400029</v>
      </c>
      <c r="C507" s="3" t="str">
        <f>HYPERLINK("https://otsuka-europe-crm.veevavault.com/ui/#object/sent_email__v/VBLZ025E82HCOYT", "SE-000283987")</f>
        <v>SE-000283987</v>
      </c>
      <c r="D507" s="4">
        <v>45937.412858796299</v>
      </c>
      <c r="E507" s="5">
        <v>1</v>
      </c>
      <c r="F507" s="5">
        <v>1</v>
      </c>
      <c r="G507" s="5">
        <v>0</v>
      </c>
      <c r="H507" s="4" t="s">
        <v>11</v>
      </c>
      <c r="I507" s="5">
        <v>0</v>
      </c>
      <c r="J507" s="4">
        <v>45937.375300925924</v>
      </c>
    </row>
    <row r="508" spans="1:10" x14ac:dyDescent="0.2">
      <c r="A508" s="2" t="s">
        <v>10</v>
      </c>
      <c r="B508" s="3" t="str">
        <f t="shared" si="15"/>
        <v>Email instauration Abilify Maintena 960 mg_FR-AM2-2400029</v>
      </c>
      <c r="C508" s="3" t="str">
        <f>HYPERLINK("https://otsuka-europe-crm.veevavault.com/ui/#object/sent_email__v/VBLZ025E82HCP1L", "SE-000283988")</f>
        <v>SE-000283988</v>
      </c>
      <c r="D508" s="4">
        <v>45937.448761574073</v>
      </c>
      <c r="E508" s="5">
        <v>1</v>
      </c>
      <c r="F508" s="5">
        <v>1</v>
      </c>
      <c r="G508" s="5">
        <v>0</v>
      </c>
      <c r="H508" s="4" t="s">
        <v>11</v>
      </c>
      <c r="I508" s="5">
        <v>0</v>
      </c>
      <c r="J508" s="4">
        <v>45937.375497685185</v>
      </c>
    </row>
    <row r="509" spans="1:10" x14ac:dyDescent="0.2">
      <c r="A509" s="2" t="s">
        <v>10</v>
      </c>
      <c r="B509" s="3" t="str">
        <f t="shared" si="15"/>
        <v>Email instauration Abilify Maintena 960 mg_FR-AM2-2400029</v>
      </c>
      <c r="C509" s="3" t="str">
        <f>HYPERLINK("https://otsuka-europe-crm.veevavault.com/ui/#object/sent_email__v/VBLZ025E82HCP4D", "SE-000283989")</f>
        <v>SE-000283989</v>
      </c>
      <c r="D509" s="4" t="s">
        <v>11</v>
      </c>
      <c r="E509" s="5">
        <v>0</v>
      </c>
      <c r="F509" s="5">
        <v>0</v>
      </c>
      <c r="G509" s="5">
        <v>0</v>
      </c>
      <c r="H509" s="4" t="s">
        <v>11</v>
      </c>
      <c r="I509" s="5">
        <v>0</v>
      </c>
      <c r="J509" s="4">
        <v>45937.375798611109</v>
      </c>
    </row>
    <row r="510" spans="1:10" x14ac:dyDescent="0.2">
      <c r="A510" s="2" t="s">
        <v>10</v>
      </c>
      <c r="B510" s="3" t="str">
        <f t="shared" si="15"/>
        <v>Email instauration Abilify Maintena 960 mg_FR-AM2-2400029</v>
      </c>
      <c r="C510" s="3" t="str">
        <f>HYPERLINK("https://otsuka-europe-crm.veevavault.com/ui/#object/sent_email__v/VBLZ025E82HCVWT", "SE-000284167")</f>
        <v>SE-000284167</v>
      </c>
      <c r="D510" s="4" t="s">
        <v>11</v>
      </c>
      <c r="E510" s="5">
        <v>0</v>
      </c>
      <c r="F510" s="5">
        <v>0</v>
      </c>
      <c r="G510" s="5">
        <v>0</v>
      </c>
      <c r="H510" s="4" t="s">
        <v>11</v>
      </c>
      <c r="I510" s="5">
        <v>0</v>
      </c>
      <c r="J510" s="4">
        <v>45937.435671296298</v>
      </c>
    </row>
    <row r="511" spans="1:10" x14ac:dyDescent="0.2">
      <c r="A511" s="2" t="s">
        <v>10</v>
      </c>
      <c r="B511" s="3" t="str">
        <f t="shared" si="15"/>
        <v>Email instauration Abilify Maintena 960 mg_FR-AM2-2400029</v>
      </c>
      <c r="C511" s="3" t="str">
        <f>HYPERLINK("https://otsuka-europe-crm.veevavault.com/ui/#object/sent_email__v/VBLZ025E82HDHLD", "SE-000284375")</f>
        <v>SE-000284375</v>
      </c>
      <c r="D511" s="4" t="s">
        <v>11</v>
      </c>
      <c r="E511" s="5">
        <v>0</v>
      </c>
      <c r="F511" s="5">
        <v>0</v>
      </c>
      <c r="G511" s="5">
        <v>0</v>
      </c>
      <c r="H511" s="4" t="s">
        <v>11</v>
      </c>
      <c r="I511" s="5">
        <v>0</v>
      </c>
      <c r="J511" s="4">
        <v>45937.551226851851</v>
      </c>
    </row>
    <row r="512" spans="1:10" x14ac:dyDescent="0.2">
      <c r="A512" s="2" t="s">
        <v>10</v>
      </c>
      <c r="B512" s="3" t="str">
        <f t="shared" si="15"/>
        <v>Email instauration Abilify Maintena 960 mg_FR-AM2-2400029</v>
      </c>
      <c r="C512" s="3" t="str">
        <f>HYPERLINK("https://otsuka-europe-crm.veevavault.com/ui/#object/sent_email__v/VBLZ025E82HDHO5", "SE-000284376")</f>
        <v>SE-000284376</v>
      </c>
      <c r="D512" s="4" t="s">
        <v>11</v>
      </c>
      <c r="E512" s="5">
        <v>0</v>
      </c>
      <c r="F512" s="5">
        <v>0</v>
      </c>
      <c r="G512" s="5">
        <v>0</v>
      </c>
      <c r="H512" s="4" t="s">
        <v>11</v>
      </c>
      <c r="I512" s="5">
        <v>0</v>
      </c>
      <c r="J512" s="4">
        <v>45937.553333333337</v>
      </c>
    </row>
    <row r="513" spans="1:10" x14ac:dyDescent="0.2">
      <c r="A513" s="2" t="s">
        <v>10</v>
      </c>
      <c r="B513" s="3" t="str">
        <f t="shared" si="15"/>
        <v>Email instauration Abilify Maintena 960 mg_FR-AM2-2400029</v>
      </c>
      <c r="C513" s="3" t="str">
        <f>HYPERLINK("https://otsuka-europe-crm.veevavault.com/ui/#object/sent_email__v/VBLZ025E82HDHQX", "SE-000284377")</f>
        <v>SE-000284377</v>
      </c>
      <c r="D513" s="4">
        <v>45939.454143518517</v>
      </c>
      <c r="E513" s="5">
        <v>1</v>
      </c>
      <c r="F513" s="5">
        <v>1</v>
      </c>
      <c r="G513" s="5">
        <v>0</v>
      </c>
      <c r="H513" s="4" t="s">
        <v>11</v>
      </c>
      <c r="I513" s="5">
        <v>0</v>
      </c>
      <c r="J513" s="4">
        <v>45937.553784722222</v>
      </c>
    </row>
    <row r="514" spans="1:10" x14ac:dyDescent="0.2">
      <c r="A514" s="2" t="s">
        <v>10</v>
      </c>
      <c r="B514" s="3" t="str">
        <f t="shared" si="15"/>
        <v>Email instauration Abilify Maintena 960 mg_FR-AM2-2400029</v>
      </c>
      <c r="C514" s="3" t="str">
        <f>HYPERLINK("https://otsuka-europe-crm.veevavault.com/ui/#object/sent_email__v/VBLZ025E82HDHTP", "SE-000284378")</f>
        <v>SE-000284378</v>
      </c>
      <c r="D514" s="4" t="s">
        <v>11</v>
      </c>
      <c r="E514" s="5">
        <v>0</v>
      </c>
      <c r="F514" s="5">
        <v>0</v>
      </c>
      <c r="G514" s="5">
        <v>0</v>
      </c>
      <c r="H514" s="4" t="s">
        <v>11</v>
      </c>
      <c r="I514" s="5">
        <v>0</v>
      </c>
      <c r="J514" s="4">
        <v>45937.554652777777</v>
      </c>
    </row>
    <row r="515" spans="1:10" x14ac:dyDescent="0.2">
      <c r="A515" s="2" t="s">
        <v>10</v>
      </c>
      <c r="B515" s="3" t="str">
        <f t="shared" si="15"/>
        <v>Email instauration Abilify Maintena 960 mg_FR-AM2-2400029</v>
      </c>
      <c r="C515" s="3" t="str">
        <f>HYPERLINK("https://otsuka-europe-crm.veevavault.com/ui/#object/sent_email__v/VBLZ025E82HDJTX", "SE-000284380")</f>
        <v>SE-000284380</v>
      </c>
      <c r="D515" s="4" t="s">
        <v>11</v>
      </c>
      <c r="E515" s="5">
        <v>0</v>
      </c>
      <c r="F515" s="5">
        <v>0</v>
      </c>
      <c r="G515" s="5">
        <v>0</v>
      </c>
      <c r="H515" s="4" t="s">
        <v>11</v>
      </c>
      <c r="I515" s="5">
        <v>0</v>
      </c>
      <c r="J515" s="4">
        <v>45937.584432870368</v>
      </c>
    </row>
    <row r="516" spans="1:10" x14ac:dyDescent="0.2">
      <c r="A516" s="2" t="s">
        <v>10</v>
      </c>
      <c r="B516" s="3" t="str">
        <f t="shared" si="15"/>
        <v>Email instauration Abilify Maintena 960 mg_FR-AM2-2400029</v>
      </c>
      <c r="C516" s="3" t="str">
        <f>HYPERLINK("https://otsuka-europe-crm.veevavault.com/ui/#object/sent_email__v/VBLZ025E82HDJWP", "SE-000284381")</f>
        <v>SE-000284381</v>
      </c>
      <c r="D516" s="4">
        <v>46052.513402777775</v>
      </c>
      <c r="E516" s="5">
        <v>1</v>
      </c>
      <c r="F516" s="5">
        <v>96</v>
      </c>
      <c r="G516" s="5">
        <v>0</v>
      </c>
      <c r="H516" s="4" t="s">
        <v>11</v>
      </c>
      <c r="I516" s="5">
        <v>0</v>
      </c>
      <c r="J516" s="4">
        <v>45937.584641203706</v>
      </c>
    </row>
    <row r="517" spans="1:10" x14ac:dyDescent="0.2">
      <c r="A517" s="2" t="s">
        <v>10</v>
      </c>
      <c r="B517" s="3" t="str">
        <f t="shared" si="15"/>
        <v>Email instauration Abilify Maintena 960 mg_FR-AM2-2400029</v>
      </c>
      <c r="C517" s="3" t="str">
        <f>HYPERLINK("https://otsuka-europe-crm.veevavault.com/ui/#object/sent_email__v/VBLZ025E82HDJZH", "SE-000284382")</f>
        <v>SE-000284382</v>
      </c>
      <c r="D517" s="4" t="s">
        <v>11</v>
      </c>
      <c r="E517" s="5">
        <v>0</v>
      </c>
      <c r="F517" s="5">
        <v>0</v>
      </c>
      <c r="G517" s="5">
        <v>0</v>
      </c>
      <c r="H517" s="4" t="s">
        <v>11</v>
      </c>
      <c r="I517" s="5">
        <v>0</v>
      </c>
      <c r="J517" s="4">
        <v>45937.584918981483</v>
      </c>
    </row>
    <row r="518" spans="1:10" x14ac:dyDescent="0.2">
      <c r="A518" s="2" t="s">
        <v>10</v>
      </c>
      <c r="B518" s="3" t="str">
        <f t="shared" si="15"/>
        <v>Email instauration Abilify Maintena 960 mg_FR-AM2-2400029</v>
      </c>
      <c r="C518" s="3" t="str">
        <f>HYPERLINK("https://otsuka-europe-crm.veevavault.com/ui/#object/sent_email__v/VBLZ025E82HDK29", "SE-000284383")</f>
        <v>SE-000284383</v>
      </c>
      <c r="D518" s="4" t="s">
        <v>11</v>
      </c>
      <c r="E518" s="5">
        <v>0</v>
      </c>
      <c r="F518" s="5">
        <v>0</v>
      </c>
      <c r="G518" s="5">
        <v>0</v>
      </c>
      <c r="H518" s="4" t="s">
        <v>11</v>
      </c>
      <c r="I518" s="5">
        <v>0</v>
      </c>
      <c r="J518" s="4">
        <v>45937.585231481484</v>
      </c>
    </row>
    <row r="519" spans="1:10" x14ac:dyDescent="0.2">
      <c r="A519" s="2" t="s">
        <v>10</v>
      </c>
      <c r="B519" s="3" t="str">
        <f t="shared" si="15"/>
        <v>Email instauration Abilify Maintena 960 mg_FR-AM2-2400029</v>
      </c>
      <c r="C519" s="3" t="str">
        <f>HYPERLINK("https://otsuka-europe-crm.veevavault.com/ui/#object/sent_email__v/VBLZ025E82HDK51", "SE-000284384")</f>
        <v>SE-000284384</v>
      </c>
      <c r="D519" s="4" t="s">
        <v>11</v>
      </c>
      <c r="E519" s="5">
        <v>0</v>
      </c>
      <c r="F519" s="5">
        <v>0</v>
      </c>
      <c r="G519" s="5">
        <v>0</v>
      </c>
      <c r="H519" s="4" t="s">
        <v>11</v>
      </c>
      <c r="I519" s="5">
        <v>0</v>
      </c>
      <c r="J519" s="4">
        <v>45937.585613425923</v>
      </c>
    </row>
    <row r="520" spans="1:10" x14ac:dyDescent="0.2">
      <c r="A520" s="2" t="s">
        <v>10</v>
      </c>
      <c r="B520" s="3" t="str">
        <f t="shared" si="15"/>
        <v>Email instauration Abilify Maintena 960 mg_FR-AM2-2400029</v>
      </c>
      <c r="C520" s="3" t="str">
        <f>HYPERLINK("https://otsuka-europe-crm.veevavault.com/ui/#object/sent_email__v/VBLZ025E82HDK7T", "SE-000284385")</f>
        <v>SE-000284385</v>
      </c>
      <c r="D520" s="4">
        <v>45942.881793981483</v>
      </c>
      <c r="E520" s="5">
        <v>1</v>
      </c>
      <c r="F520" s="5">
        <v>2</v>
      </c>
      <c r="G520" s="5">
        <v>0</v>
      </c>
      <c r="H520" s="4" t="s">
        <v>11</v>
      </c>
      <c r="I520" s="5">
        <v>0</v>
      </c>
      <c r="J520" s="4">
        <v>45937.585868055554</v>
      </c>
    </row>
    <row r="521" spans="1:10" x14ac:dyDescent="0.2">
      <c r="A521" s="2" t="s">
        <v>10</v>
      </c>
      <c r="B521" s="3" t="str">
        <f t="shared" si="15"/>
        <v>Email instauration Abilify Maintena 960 mg_FR-AM2-2400029</v>
      </c>
      <c r="C521" s="3" t="str">
        <f>HYPERLINK("https://otsuka-europe-crm.veevavault.com/ui/#object/sent_email__v/VBLZ025E82HDKR9", "SE-000284387")</f>
        <v>SE-000284387</v>
      </c>
      <c r="D521" s="4">
        <v>45937.776122685187</v>
      </c>
      <c r="E521" s="5">
        <v>1</v>
      </c>
      <c r="F521" s="5">
        <v>1</v>
      </c>
      <c r="G521" s="5">
        <v>0</v>
      </c>
      <c r="H521" s="4" t="s">
        <v>11</v>
      </c>
      <c r="I521" s="5">
        <v>0</v>
      </c>
      <c r="J521" s="4">
        <v>45937.597141203703</v>
      </c>
    </row>
    <row r="522" spans="1:10" x14ac:dyDescent="0.2">
      <c r="A522" s="2" t="s">
        <v>10</v>
      </c>
      <c r="B522" s="3" t="str">
        <f t="shared" si="15"/>
        <v>Email instauration Abilify Maintena 960 mg_FR-AM2-2400029</v>
      </c>
      <c r="C522" s="3" t="str">
        <f>HYPERLINK("https://otsuka-europe-crm.veevavault.com/ui/#object/sent_email__v/VBLZ025E82HDL55", "SE-000284388")</f>
        <v>SE-000284388</v>
      </c>
      <c r="D522" s="4" t="s">
        <v>11</v>
      </c>
      <c r="E522" s="5">
        <v>0</v>
      </c>
      <c r="F522" s="5">
        <v>0</v>
      </c>
      <c r="G522" s="5">
        <v>0</v>
      </c>
      <c r="H522" s="4" t="s">
        <v>11</v>
      </c>
      <c r="I522" s="5">
        <v>0</v>
      </c>
      <c r="J522" s="4">
        <v>45937.597650462965</v>
      </c>
    </row>
    <row r="523" spans="1:10" x14ac:dyDescent="0.2">
      <c r="A523" s="2" t="s">
        <v>10</v>
      </c>
      <c r="B523" s="3" t="str">
        <f t="shared" si="15"/>
        <v>Email instauration Abilify Maintena 960 mg_FR-AM2-2400029</v>
      </c>
      <c r="C523" s="3" t="str">
        <f>HYPERLINK("https://otsuka-europe-crm.veevavault.com/ui/#object/sent_email__v/VBLZ025E82HDLAP", "SE-000284390")</f>
        <v>SE-000284390</v>
      </c>
      <c r="D523" s="4" t="s">
        <v>11</v>
      </c>
      <c r="E523" s="5">
        <v>0</v>
      </c>
      <c r="F523" s="5">
        <v>0</v>
      </c>
      <c r="G523" s="5">
        <v>0</v>
      </c>
      <c r="H523" s="4" t="s">
        <v>11</v>
      </c>
      <c r="I523" s="5">
        <v>0</v>
      </c>
      <c r="J523" s="4">
        <v>45937.597858796296</v>
      </c>
    </row>
    <row r="524" spans="1:10" x14ac:dyDescent="0.2">
      <c r="A524" s="2" t="s">
        <v>10</v>
      </c>
      <c r="B524" s="3" t="str">
        <f t="shared" si="15"/>
        <v>Email instauration Abilify Maintena 960 mg_FR-AM2-2400029</v>
      </c>
      <c r="C524" s="3" t="str">
        <f>HYPERLINK("https://otsuka-europe-crm.veevavault.com/ui/#object/sent_email__v/VBLZ025E82HDLG9", "SE-000284392")</f>
        <v>SE-000284392</v>
      </c>
      <c r="D524" s="4">
        <v>45937.89570601852</v>
      </c>
      <c r="E524" s="5">
        <v>1</v>
      </c>
      <c r="F524" s="5">
        <v>3</v>
      </c>
      <c r="G524" s="5">
        <v>0</v>
      </c>
      <c r="H524" s="4" t="s">
        <v>11</v>
      </c>
      <c r="I524" s="5">
        <v>0</v>
      </c>
      <c r="J524" s="4">
        <v>45937.598113425927</v>
      </c>
    </row>
    <row r="525" spans="1:10" x14ac:dyDescent="0.2">
      <c r="A525" s="2" t="s">
        <v>10</v>
      </c>
      <c r="B525" s="3" t="str">
        <f t="shared" si="15"/>
        <v>Email instauration Abilify Maintena 960 mg_FR-AM2-2400029</v>
      </c>
      <c r="C525" s="3" t="str">
        <f>HYPERLINK("https://otsuka-europe-crm.veevavault.com/ui/#object/sent_email__v/VBLZ025E82HDLJ1", "SE-000284393")</f>
        <v>SE-000284393</v>
      </c>
      <c r="D525" s="4" t="s">
        <v>11</v>
      </c>
      <c r="E525" s="5">
        <v>0</v>
      </c>
      <c r="F525" s="5">
        <v>0</v>
      </c>
      <c r="G525" s="5">
        <v>0</v>
      </c>
      <c r="H525" s="4" t="s">
        <v>11</v>
      </c>
      <c r="I525" s="5">
        <v>0</v>
      </c>
      <c r="J525" s="4">
        <v>45937.598379629628</v>
      </c>
    </row>
    <row r="526" spans="1:10" x14ac:dyDescent="0.2">
      <c r="A526" s="2" t="s">
        <v>10</v>
      </c>
      <c r="B526" s="3" t="str">
        <f t="shared" si="15"/>
        <v>Email instauration Abilify Maintena 960 mg_FR-AM2-2400029</v>
      </c>
      <c r="C526" s="3" t="str">
        <f>HYPERLINK("https://otsuka-europe-crm.veevavault.com/ui/#object/sent_email__v/VBLZ025E82HDLLT", "SE-000284394")</f>
        <v>SE-000284394</v>
      </c>
      <c r="D526" s="4">
        <v>45939.268252314818</v>
      </c>
      <c r="E526" s="5">
        <v>1</v>
      </c>
      <c r="F526" s="5">
        <v>1</v>
      </c>
      <c r="G526" s="5">
        <v>0</v>
      </c>
      <c r="H526" s="4" t="s">
        <v>11</v>
      </c>
      <c r="I526" s="5">
        <v>0</v>
      </c>
      <c r="J526" s="4">
        <v>45937.598657407405</v>
      </c>
    </row>
    <row r="527" spans="1:10" x14ac:dyDescent="0.2">
      <c r="A527" s="2" t="s">
        <v>10</v>
      </c>
      <c r="B527" s="3" t="str">
        <f t="shared" si="15"/>
        <v>Email instauration Abilify Maintena 960 mg_FR-AM2-2400029</v>
      </c>
      <c r="C527" s="3" t="str">
        <f>HYPERLINK("https://otsuka-europe-crm.veevavault.com/ui/#object/sent_email__v/VBLZ025E82HDLOL", "SE-000284395")</f>
        <v>SE-000284395</v>
      </c>
      <c r="D527" s="4">
        <v>45937.600995370369</v>
      </c>
      <c r="E527" s="5">
        <v>1</v>
      </c>
      <c r="F527" s="5">
        <v>1</v>
      </c>
      <c r="G527" s="5">
        <v>0</v>
      </c>
      <c r="H527" s="4" t="s">
        <v>11</v>
      </c>
      <c r="I527" s="5">
        <v>0</v>
      </c>
      <c r="J527" s="4">
        <v>45937.598877314813</v>
      </c>
    </row>
    <row r="528" spans="1:10" x14ac:dyDescent="0.2">
      <c r="A528" s="2" t="s">
        <v>10</v>
      </c>
      <c r="B528" s="3" t="str">
        <f t="shared" si="15"/>
        <v>Email instauration Abilify Maintena 960 mg_FR-AM2-2400029</v>
      </c>
      <c r="C528" s="3" t="str">
        <f>HYPERLINK("https://otsuka-europe-crm.veevavault.com/ui/#object/sent_email__v/VBLZ025E82HDLU5", "SE-000284396")</f>
        <v>SE-000284396</v>
      </c>
      <c r="D528" s="4">
        <v>45958.232094907406</v>
      </c>
      <c r="E528" s="5">
        <v>1</v>
      </c>
      <c r="F528" s="5">
        <v>4</v>
      </c>
      <c r="G528" s="5">
        <v>0</v>
      </c>
      <c r="H528" s="4" t="s">
        <v>11</v>
      </c>
      <c r="I528" s="5">
        <v>0</v>
      </c>
      <c r="J528" s="4">
        <v>45937.59920138889</v>
      </c>
    </row>
    <row r="529" spans="1:10" x14ac:dyDescent="0.2">
      <c r="A529" s="2" t="s">
        <v>10</v>
      </c>
      <c r="B529" s="3" t="str">
        <f t="shared" si="15"/>
        <v>Email instauration Abilify Maintena 960 mg_FR-AM2-2400029</v>
      </c>
      <c r="C529" s="3" t="str">
        <f>HYPERLINK("https://otsuka-europe-crm.veevavault.com/ui/#object/sent_email__v/VBLZ025E82HDLWX", "SE-000284397")</f>
        <v>SE-000284397</v>
      </c>
      <c r="D529" s="4" t="s">
        <v>11</v>
      </c>
      <c r="E529" s="5">
        <v>0</v>
      </c>
      <c r="F529" s="5">
        <v>0</v>
      </c>
      <c r="G529" s="5">
        <v>0</v>
      </c>
      <c r="H529" s="4" t="s">
        <v>11</v>
      </c>
      <c r="I529" s="5">
        <v>0</v>
      </c>
      <c r="J529" s="4">
        <v>45937.599444444444</v>
      </c>
    </row>
    <row r="530" spans="1:10" x14ac:dyDescent="0.2">
      <c r="A530" s="2" t="s">
        <v>10</v>
      </c>
      <c r="B530" s="3" t="str">
        <f t="shared" si="15"/>
        <v>Email instauration Abilify Maintena 960 mg_FR-AM2-2400029</v>
      </c>
      <c r="C530" s="3" t="str">
        <f>HYPERLINK("https://otsuka-europe-crm.veevavault.com/ui/#object/sent_email__v/VBLZ025E82HDLZP", "SE-000284398")</f>
        <v>SE-000284398</v>
      </c>
      <c r="D530" s="4" t="s">
        <v>11</v>
      </c>
      <c r="E530" s="5">
        <v>0</v>
      </c>
      <c r="F530" s="5">
        <v>0</v>
      </c>
      <c r="G530" s="5">
        <v>0</v>
      </c>
      <c r="H530" s="4" t="s">
        <v>11</v>
      </c>
      <c r="I530" s="5">
        <v>0</v>
      </c>
      <c r="J530" s="4">
        <v>45937.600092592591</v>
      </c>
    </row>
    <row r="531" spans="1:10" x14ac:dyDescent="0.2">
      <c r="A531" s="2" t="s">
        <v>10</v>
      </c>
      <c r="B531" s="3" t="str">
        <f t="shared" si="15"/>
        <v>Email instauration Abilify Maintena 960 mg_FR-AM2-2400029</v>
      </c>
      <c r="C531" s="3" t="str">
        <f>HYPERLINK("https://otsuka-europe-crm.veevavault.com/ui/#object/sent_email__v/VBLZ025E82HDM59", "SE-000284399")</f>
        <v>SE-000284399</v>
      </c>
      <c r="D531" s="4" t="s">
        <v>11</v>
      </c>
      <c r="E531" s="5">
        <v>0</v>
      </c>
      <c r="F531" s="5">
        <v>0</v>
      </c>
      <c r="G531" s="5">
        <v>0</v>
      </c>
      <c r="H531" s="4" t="s">
        <v>11</v>
      </c>
      <c r="I531" s="5">
        <v>0</v>
      </c>
      <c r="J531" s="4">
        <v>45937.600312499999</v>
      </c>
    </row>
    <row r="532" spans="1:10" x14ac:dyDescent="0.2">
      <c r="A532" s="2" t="s">
        <v>10</v>
      </c>
      <c r="B532" s="3" t="str">
        <f t="shared" si="15"/>
        <v>Email instauration Abilify Maintena 960 mg_FR-AM2-2400029</v>
      </c>
      <c r="C532" s="3" t="str">
        <f>HYPERLINK("https://otsuka-europe-crm.veevavault.com/ui/#object/sent_email__v/VBLZ025E82HDM81", "SE-000284400")</f>
        <v>SE-000284400</v>
      </c>
      <c r="D532" s="4">
        <v>45938.796273148146</v>
      </c>
      <c r="E532" s="5">
        <v>1</v>
      </c>
      <c r="F532" s="5">
        <v>6</v>
      </c>
      <c r="G532" s="5">
        <v>0</v>
      </c>
      <c r="H532" s="4" t="s">
        <v>11</v>
      </c>
      <c r="I532" s="5">
        <v>0</v>
      </c>
      <c r="J532" s="4">
        <v>45937.600543981483</v>
      </c>
    </row>
    <row r="533" spans="1:10" x14ac:dyDescent="0.2">
      <c r="A533" s="2" t="s">
        <v>10</v>
      </c>
      <c r="B533" s="3" t="str">
        <f t="shared" si="15"/>
        <v>Email instauration Abilify Maintena 960 mg_FR-AM2-2400029</v>
      </c>
      <c r="C533" s="3" t="str">
        <f>HYPERLINK("https://otsuka-europe-crm.veevavault.com/ui/#object/sent_email__v/VBLZ025E82HDMDL", "SE-000284401")</f>
        <v>SE-000284401</v>
      </c>
      <c r="D533" s="4" t="s">
        <v>11</v>
      </c>
      <c r="E533" s="5">
        <v>0</v>
      </c>
      <c r="F533" s="5">
        <v>0</v>
      </c>
      <c r="G533" s="5">
        <v>0</v>
      </c>
      <c r="H533" s="4" t="s">
        <v>11</v>
      </c>
      <c r="I533" s="5">
        <v>0</v>
      </c>
      <c r="J533" s="4">
        <v>45937.600717592592</v>
      </c>
    </row>
    <row r="534" spans="1:10" x14ac:dyDescent="0.2">
      <c r="A534" s="2" t="s">
        <v>10</v>
      </c>
      <c r="B534" s="3" t="str">
        <f t="shared" si="15"/>
        <v>Email instauration Abilify Maintena 960 mg_FR-AM2-2400029</v>
      </c>
      <c r="C534" s="3" t="str">
        <f>HYPERLINK("https://otsuka-europe-crm.veevavault.com/ui/#object/sent_email__v/VBLZ025E82HDMGD", "SE-000284402")</f>
        <v>SE-000284402</v>
      </c>
      <c r="D534" s="4">
        <v>45942.430601851855</v>
      </c>
      <c r="E534" s="5">
        <v>1</v>
      </c>
      <c r="F534" s="5">
        <v>1</v>
      </c>
      <c r="G534" s="5">
        <v>0</v>
      </c>
      <c r="H534" s="4" t="s">
        <v>11</v>
      </c>
      <c r="I534" s="5">
        <v>0</v>
      </c>
      <c r="J534" s="4">
        <v>45937.600925925923</v>
      </c>
    </row>
    <row r="535" spans="1:10" x14ac:dyDescent="0.2">
      <c r="A535" s="2" t="s">
        <v>10</v>
      </c>
      <c r="B535" s="3" t="str">
        <f t="shared" si="15"/>
        <v>Email instauration Abilify Maintena 960 mg_FR-AM2-2400029</v>
      </c>
      <c r="C535" s="3" t="str">
        <f>HYPERLINK("https://otsuka-europe-crm.veevavault.com/ui/#object/sent_email__v/VBLZ025E82HDMJ5", "SE-000284403")</f>
        <v>SE-000284403</v>
      </c>
      <c r="D535" s="4" t="s">
        <v>11</v>
      </c>
      <c r="E535" s="5">
        <v>0</v>
      </c>
      <c r="F535" s="5">
        <v>0</v>
      </c>
      <c r="G535" s="5">
        <v>0</v>
      </c>
      <c r="H535" s="4" t="s">
        <v>11</v>
      </c>
      <c r="I535" s="5">
        <v>0</v>
      </c>
      <c r="J535" s="4">
        <v>45937.601111111115</v>
      </c>
    </row>
    <row r="536" spans="1:10" x14ac:dyDescent="0.2">
      <c r="A536" s="2" t="s">
        <v>10</v>
      </c>
      <c r="B536" s="3" t="str">
        <f t="shared" si="15"/>
        <v>Email instauration Abilify Maintena 960 mg_FR-AM2-2400029</v>
      </c>
      <c r="C536" s="3" t="str">
        <f>HYPERLINK("https://otsuka-europe-crm.veevavault.com/ui/#object/sent_email__v/VBLZ025E82HDMOP", "SE-000284404")</f>
        <v>SE-000284404</v>
      </c>
      <c r="D536" s="4">
        <v>45938.312141203707</v>
      </c>
      <c r="E536" s="5">
        <v>1</v>
      </c>
      <c r="F536" s="5">
        <v>2</v>
      </c>
      <c r="G536" s="5">
        <v>0</v>
      </c>
      <c r="H536" s="4" t="s">
        <v>11</v>
      </c>
      <c r="I536" s="5">
        <v>0</v>
      </c>
      <c r="J536" s="4">
        <v>45937.601354166669</v>
      </c>
    </row>
    <row r="537" spans="1:10" x14ac:dyDescent="0.2">
      <c r="A537" s="2" t="s">
        <v>10</v>
      </c>
      <c r="B537" s="3" t="str">
        <f t="shared" si="15"/>
        <v>Email instauration Abilify Maintena 960 mg_FR-AM2-2400029</v>
      </c>
      <c r="C537" s="3" t="str">
        <f>HYPERLINK("https://otsuka-europe-crm.veevavault.com/ui/#object/sent_email__v/VBLZ025E82HDMRH", "SE-000284405")</f>
        <v>SE-000284405</v>
      </c>
      <c r="D537" s="4">
        <v>45937.841898148145</v>
      </c>
      <c r="E537" s="5">
        <v>1</v>
      </c>
      <c r="F537" s="5">
        <v>1</v>
      </c>
      <c r="G537" s="5">
        <v>0</v>
      </c>
      <c r="H537" s="4" t="s">
        <v>11</v>
      </c>
      <c r="I537" s="5">
        <v>0</v>
      </c>
      <c r="J537" s="4">
        <v>45937.601527777777</v>
      </c>
    </row>
    <row r="538" spans="1:10" x14ac:dyDescent="0.2">
      <c r="A538" s="2" t="s">
        <v>10</v>
      </c>
      <c r="B538" s="3" t="str">
        <f t="shared" si="15"/>
        <v>Email instauration Abilify Maintena 960 mg_FR-AM2-2400029</v>
      </c>
      <c r="C538" s="3" t="str">
        <f>HYPERLINK("https://otsuka-europe-crm.veevavault.com/ui/#object/sent_email__v/VBLZ025E82HDMU9", "SE-000284406")</f>
        <v>SE-000284406</v>
      </c>
      <c r="D538" s="4">
        <v>45937.823263888888</v>
      </c>
      <c r="E538" s="5">
        <v>1</v>
      </c>
      <c r="F538" s="5">
        <v>2</v>
      </c>
      <c r="G538" s="5">
        <v>0</v>
      </c>
      <c r="H538" s="4" t="s">
        <v>11</v>
      </c>
      <c r="I538" s="5">
        <v>0</v>
      </c>
      <c r="J538" s="4">
        <v>45937.601817129631</v>
      </c>
    </row>
    <row r="539" spans="1:10" x14ac:dyDescent="0.2">
      <c r="A539" s="2" t="s">
        <v>10</v>
      </c>
      <c r="B539" s="3" t="str">
        <f t="shared" si="15"/>
        <v>Email instauration Abilify Maintena 960 mg_FR-AM2-2400029</v>
      </c>
      <c r="C539" s="3" t="str">
        <f>HYPERLINK("https://otsuka-europe-crm.veevavault.com/ui/#object/sent_email__v/VBLZ025E82HDMX1", "SE-000284407")</f>
        <v>SE-000284407</v>
      </c>
      <c r="D539" s="4" t="s">
        <v>11</v>
      </c>
      <c r="E539" s="5">
        <v>0</v>
      </c>
      <c r="F539" s="5">
        <v>0</v>
      </c>
      <c r="G539" s="5">
        <v>0</v>
      </c>
      <c r="H539" s="4" t="s">
        <v>11</v>
      </c>
      <c r="I539" s="5">
        <v>0</v>
      </c>
      <c r="J539" s="4">
        <v>45937.602002314816</v>
      </c>
    </row>
    <row r="540" spans="1:10" x14ac:dyDescent="0.2">
      <c r="A540" s="2" t="s">
        <v>10</v>
      </c>
      <c r="B540" s="3" t="str">
        <f t="shared" si="15"/>
        <v>Email instauration Abilify Maintena 960 mg_FR-AM2-2400029</v>
      </c>
      <c r="C540" s="3" t="str">
        <f>HYPERLINK("https://otsuka-europe-crm.veevavault.com/ui/#object/sent_email__v/VBLZ025E82HDN2L", "SE-000284408")</f>
        <v>SE-000284408</v>
      </c>
      <c r="D540" s="4">
        <v>45938.537476851852</v>
      </c>
      <c r="E540" s="5">
        <v>1</v>
      </c>
      <c r="F540" s="5">
        <v>2</v>
      </c>
      <c r="G540" s="5">
        <v>0</v>
      </c>
      <c r="H540" s="4" t="s">
        <v>11</v>
      </c>
      <c r="I540" s="5">
        <v>0</v>
      </c>
      <c r="J540" s="4">
        <v>45937.602222222224</v>
      </c>
    </row>
    <row r="541" spans="1:10" x14ac:dyDescent="0.2">
      <c r="A541" s="2" t="s">
        <v>10</v>
      </c>
      <c r="B541" s="3" t="str">
        <f t="shared" si="15"/>
        <v>Email instauration Abilify Maintena 960 mg_FR-AM2-2400029</v>
      </c>
      <c r="C541" s="3" t="str">
        <f>HYPERLINK("https://otsuka-europe-crm.veevavault.com/ui/#object/sent_email__v/VBLZ025E82HDN85", "SE-000284409")</f>
        <v>SE-000284409</v>
      </c>
      <c r="D541" s="4">
        <v>46013.830393518518</v>
      </c>
      <c r="E541" s="5">
        <v>1</v>
      </c>
      <c r="F541" s="5">
        <v>2</v>
      </c>
      <c r="G541" s="5">
        <v>0</v>
      </c>
      <c r="H541" s="4" t="s">
        <v>11</v>
      </c>
      <c r="I541" s="5">
        <v>0</v>
      </c>
      <c r="J541" s="4">
        <v>45937.602395833332</v>
      </c>
    </row>
    <row r="542" spans="1:10" x14ac:dyDescent="0.2">
      <c r="A542" s="2" t="s">
        <v>10</v>
      </c>
      <c r="B542" s="3" t="str">
        <f t="shared" si="15"/>
        <v>Email instauration Abilify Maintena 960 mg_FR-AM2-2400029</v>
      </c>
      <c r="C542" s="3" t="str">
        <f>HYPERLINK("https://otsuka-europe-crm.veevavault.com/ui/#object/sent_email__v/VBLZ025E82HDNAX", "SE-000284410")</f>
        <v>SE-000284410</v>
      </c>
      <c r="D542" s="4" t="s">
        <v>11</v>
      </c>
      <c r="E542" s="5">
        <v>0</v>
      </c>
      <c r="F542" s="5">
        <v>0</v>
      </c>
      <c r="G542" s="5">
        <v>0</v>
      </c>
      <c r="H542" s="4" t="s">
        <v>11</v>
      </c>
      <c r="I542" s="5">
        <v>0</v>
      </c>
      <c r="J542" s="4">
        <v>45937.602569444447</v>
      </c>
    </row>
    <row r="543" spans="1:10" x14ac:dyDescent="0.2">
      <c r="A543" s="2" t="s">
        <v>10</v>
      </c>
      <c r="B543" s="3" t="str">
        <f t="shared" si="15"/>
        <v>Email instauration Abilify Maintena 960 mg_FR-AM2-2400029</v>
      </c>
      <c r="C543" s="3" t="str">
        <f>HYPERLINK("https://otsuka-europe-crm.veevavault.com/ui/#object/sent_email__v/VBLZ025E82HDNGH", "SE-000284411")</f>
        <v>SE-000284411</v>
      </c>
      <c r="D543" s="4" t="s">
        <v>11</v>
      </c>
      <c r="E543" s="5">
        <v>0</v>
      </c>
      <c r="F543" s="5">
        <v>0</v>
      </c>
      <c r="G543" s="5">
        <v>0</v>
      </c>
      <c r="H543" s="4" t="s">
        <v>11</v>
      </c>
      <c r="I543" s="5">
        <v>0</v>
      </c>
      <c r="J543" s="4">
        <v>45937.602743055555</v>
      </c>
    </row>
    <row r="544" spans="1:10" x14ac:dyDescent="0.2">
      <c r="A544" s="2" t="s">
        <v>10</v>
      </c>
      <c r="B544" s="3" t="str">
        <f t="shared" si="15"/>
        <v>Email instauration Abilify Maintena 960 mg_FR-AM2-2400029</v>
      </c>
      <c r="C544" s="3" t="str">
        <f>HYPERLINK("https://otsuka-europe-crm.veevavault.com/ui/#object/sent_email__v/VBLZ025E82HDNJ9", "SE-000284412")</f>
        <v>SE-000284412</v>
      </c>
      <c r="D544" s="4">
        <v>45938.882604166669</v>
      </c>
      <c r="E544" s="5">
        <v>1</v>
      </c>
      <c r="F544" s="5">
        <v>7</v>
      </c>
      <c r="G544" s="5">
        <v>0</v>
      </c>
      <c r="H544" s="4" t="s">
        <v>11</v>
      </c>
      <c r="I544" s="5">
        <v>0</v>
      </c>
      <c r="J544" s="4">
        <v>45937.60292824074</v>
      </c>
    </row>
    <row r="545" spans="1:10" x14ac:dyDescent="0.2">
      <c r="A545" s="2" t="s">
        <v>10</v>
      </c>
      <c r="B545" s="3" t="str">
        <f t="shared" si="15"/>
        <v>Email instauration Abilify Maintena 960 mg_FR-AM2-2400029</v>
      </c>
      <c r="C545" s="3" t="str">
        <f>HYPERLINK("https://otsuka-europe-crm.veevavault.com/ui/#object/sent_email__v/VBLZ025E82HDNM1", "SE-000284413")</f>
        <v>SE-000284413</v>
      </c>
      <c r="D545" s="4" t="s">
        <v>11</v>
      </c>
      <c r="E545" s="5">
        <v>0</v>
      </c>
      <c r="F545" s="5">
        <v>0</v>
      </c>
      <c r="G545" s="5">
        <v>0</v>
      </c>
      <c r="H545" s="4" t="s">
        <v>11</v>
      </c>
      <c r="I545" s="5">
        <v>0</v>
      </c>
      <c r="J545" s="4">
        <v>45937.603159722225</v>
      </c>
    </row>
    <row r="546" spans="1:10" x14ac:dyDescent="0.2">
      <c r="A546" s="2" t="s">
        <v>10</v>
      </c>
      <c r="B546" s="3" t="str">
        <f t="shared" si="15"/>
        <v>Email instauration Abilify Maintena 960 mg_FR-AM2-2400029</v>
      </c>
      <c r="C546" s="3" t="str">
        <f>HYPERLINK("https://otsuka-europe-crm.veevavault.com/ui/#object/sent_email__v/VBLZ025E82HDNOT", "SE-000284414")</f>
        <v>SE-000284414</v>
      </c>
      <c r="D546" s="4">
        <v>45937.827465277776</v>
      </c>
      <c r="E546" s="5">
        <v>1</v>
      </c>
      <c r="F546" s="5">
        <v>2</v>
      </c>
      <c r="G546" s="5">
        <v>0</v>
      </c>
      <c r="H546" s="4" t="s">
        <v>11</v>
      </c>
      <c r="I546" s="5">
        <v>0</v>
      </c>
      <c r="J546" s="4">
        <v>45937.603310185186</v>
      </c>
    </row>
    <row r="547" spans="1:10" x14ac:dyDescent="0.2">
      <c r="A547" s="2" t="s">
        <v>10</v>
      </c>
      <c r="B547" s="3" t="str">
        <f t="shared" si="15"/>
        <v>Email instauration Abilify Maintena 960 mg_FR-AM2-2400029</v>
      </c>
      <c r="C547" s="3" t="str">
        <f>HYPERLINK("https://otsuka-europe-crm.veevavault.com/ui/#object/sent_email__v/VBLZ025E82HDNX5", "SE-000284415")</f>
        <v>SE-000284415</v>
      </c>
      <c r="D547" s="4" t="s">
        <v>11</v>
      </c>
      <c r="E547" s="5">
        <v>0</v>
      </c>
      <c r="F547" s="5">
        <v>0</v>
      </c>
      <c r="G547" s="5">
        <v>0</v>
      </c>
      <c r="H547" s="4" t="s">
        <v>11</v>
      </c>
      <c r="I547" s="5">
        <v>0</v>
      </c>
      <c r="J547" s="4">
        <v>45937.604583333334</v>
      </c>
    </row>
    <row r="548" spans="1:10" x14ac:dyDescent="0.2">
      <c r="A548" s="2" t="s">
        <v>10</v>
      </c>
      <c r="B548" s="3" t="str">
        <f t="shared" si="15"/>
        <v>Email instauration Abilify Maintena 960 mg_FR-AM2-2400029</v>
      </c>
      <c r="C548" s="3" t="str">
        <f>HYPERLINK("https://otsuka-europe-crm.veevavault.com/ui/#object/sent_email__v/VBLZ025E82HDNZX", "SE-000284416")</f>
        <v>SE-000284416</v>
      </c>
      <c r="D548" s="4">
        <v>45937.608993055554</v>
      </c>
      <c r="E548" s="5">
        <v>1</v>
      </c>
      <c r="F548" s="5">
        <v>1</v>
      </c>
      <c r="G548" s="5">
        <v>0</v>
      </c>
      <c r="H548" s="4" t="s">
        <v>11</v>
      </c>
      <c r="I548" s="5">
        <v>0</v>
      </c>
      <c r="J548" s="4">
        <v>45937.604895833334</v>
      </c>
    </row>
    <row r="549" spans="1:10" x14ac:dyDescent="0.2">
      <c r="A549" s="2" t="s">
        <v>10</v>
      </c>
      <c r="B549" s="3" t="str">
        <f t="shared" si="15"/>
        <v>Email instauration Abilify Maintena 960 mg_FR-AM2-2400029</v>
      </c>
      <c r="C549" s="3" t="str">
        <f>HYPERLINK("https://otsuka-europe-crm.veevavault.com/ui/#object/sent_email__v/VBLZ025E82HDO2P", "SE-000284417")</f>
        <v>SE-000284417</v>
      </c>
      <c r="D549" s="4" t="s">
        <v>11</v>
      </c>
      <c r="E549" s="5">
        <v>0</v>
      </c>
      <c r="F549" s="5">
        <v>0</v>
      </c>
      <c r="G549" s="5">
        <v>0</v>
      </c>
      <c r="H549" s="4" t="s">
        <v>11</v>
      </c>
      <c r="I549" s="5">
        <v>0</v>
      </c>
      <c r="J549" s="4">
        <v>45937.605312500003</v>
      </c>
    </row>
    <row r="550" spans="1:10" x14ac:dyDescent="0.2">
      <c r="A550" s="2" t="s">
        <v>10</v>
      </c>
      <c r="B550" s="3" t="str">
        <f t="shared" si="15"/>
        <v>Email instauration Abilify Maintena 960 mg_FR-AM2-2400029</v>
      </c>
      <c r="C550" s="3" t="str">
        <f>HYPERLINK("https://otsuka-europe-crm.veevavault.com/ui/#object/sent_email__v/VBLZ025E82HDO5H", "SE-000284418")</f>
        <v>SE-000284418</v>
      </c>
      <c r="D550" s="4">
        <v>45937.786921296298</v>
      </c>
      <c r="E550" s="5">
        <v>1</v>
      </c>
      <c r="F550" s="5">
        <v>12</v>
      </c>
      <c r="G550" s="5">
        <v>0</v>
      </c>
      <c r="H550" s="4" t="s">
        <v>11</v>
      </c>
      <c r="I550" s="5">
        <v>0</v>
      </c>
      <c r="J550" s="4">
        <v>45937.605497685188</v>
      </c>
    </row>
    <row r="551" spans="1:10" x14ac:dyDescent="0.2">
      <c r="A551" s="2" t="s">
        <v>10</v>
      </c>
      <c r="B551" s="3" t="str">
        <f t="shared" si="15"/>
        <v>Email instauration Abilify Maintena 960 mg_FR-AM2-2400029</v>
      </c>
      <c r="C551" s="3" t="str">
        <f>HYPERLINK("https://otsuka-europe-crm.veevavault.com/ui/#object/sent_email__v/VBLZ025E82HDO89", "SE-000284419")</f>
        <v>SE-000284419</v>
      </c>
      <c r="D551" s="4" t="s">
        <v>11</v>
      </c>
      <c r="E551" s="5">
        <v>0</v>
      </c>
      <c r="F551" s="5">
        <v>0</v>
      </c>
      <c r="G551" s="5">
        <v>0</v>
      </c>
      <c r="H551" s="4" t="s">
        <v>11</v>
      </c>
      <c r="I551" s="5">
        <v>0</v>
      </c>
      <c r="J551" s="4">
        <v>45937.60565972222</v>
      </c>
    </row>
    <row r="552" spans="1:10" x14ac:dyDescent="0.2">
      <c r="A552" s="2" t="s">
        <v>10</v>
      </c>
      <c r="B552" s="3" t="str">
        <f t="shared" si="15"/>
        <v>Email instauration Abilify Maintena 960 mg_FR-AM2-2400029</v>
      </c>
      <c r="C552" s="3" t="str">
        <f>HYPERLINK("https://otsuka-europe-crm.veevavault.com/ui/#object/sent_email__v/VBLZ025E82HDOB1", "SE-000284420")</f>
        <v>SE-000284420</v>
      </c>
      <c r="D552" s="4" t="s">
        <v>11</v>
      </c>
      <c r="E552" s="5">
        <v>0</v>
      </c>
      <c r="F552" s="5">
        <v>0</v>
      </c>
      <c r="G552" s="5">
        <v>0</v>
      </c>
      <c r="H552" s="4" t="s">
        <v>11</v>
      </c>
      <c r="I552" s="5">
        <v>0</v>
      </c>
      <c r="J552" s="4">
        <v>45937.605868055558</v>
      </c>
    </row>
    <row r="553" spans="1:10" x14ac:dyDescent="0.2">
      <c r="A553" s="2" t="s">
        <v>10</v>
      </c>
      <c r="B553" s="3" t="str">
        <f t="shared" si="15"/>
        <v>Email instauration Abilify Maintena 960 mg_FR-AM2-2400029</v>
      </c>
      <c r="C553" s="3" t="str">
        <f>HYPERLINK("https://otsuka-europe-crm.veevavault.com/ui/#object/sent_email__v/VBLZ025E82HDOM5", "SE-000284421")</f>
        <v>SE-000284421</v>
      </c>
      <c r="D553" s="4" t="s">
        <v>11</v>
      </c>
      <c r="E553" s="5">
        <v>0</v>
      </c>
      <c r="F553" s="5">
        <v>0</v>
      </c>
      <c r="G553" s="5">
        <v>0</v>
      </c>
      <c r="H553" s="4" t="s">
        <v>11</v>
      </c>
      <c r="I553" s="5">
        <v>0</v>
      </c>
      <c r="J553" s="4">
        <v>45937.606782407405</v>
      </c>
    </row>
    <row r="554" spans="1:10" x14ac:dyDescent="0.2">
      <c r="A554" s="2" t="s">
        <v>10</v>
      </c>
      <c r="B554" s="3" t="str">
        <f t="shared" si="15"/>
        <v>Email instauration Abilify Maintena 960 mg_FR-AM2-2400029</v>
      </c>
      <c r="C554" s="3" t="str">
        <f>HYPERLINK("https://otsuka-europe-crm.veevavault.com/ui/#object/sent_email__v/VBLZ025E82HDOOX", "SE-000284422")</f>
        <v>SE-000284422</v>
      </c>
      <c r="D554" s="4">
        <v>45937.612847222219</v>
      </c>
      <c r="E554" s="5">
        <v>1</v>
      </c>
      <c r="F554" s="5">
        <v>1</v>
      </c>
      <c r="G554" s="5">
        <v>0</v>
      </c>
      <c r="H554" s="4" t="s">
        <v>11</v>
      </c>
      <c r="I554" s="5">
        <v>0</v>
      </c>
      <c r="J554" s="4">
        <v>45937.606956018521</v>
      </c>
    </row>
    <row r="555" spans="1:10" x14ac:dyDescent="0.2">
      <c r="A555" s="2" t="s">
        <v>10</v>
      </c>
      <c r="B555" s="3" t="str">
        <f t="shared" si="15"/>
        <v>Email instauration Abilify Maintena 960 mg_FR-AM2-2400029</v>
      </c>
      <c r="C555" s="3" t="str">
        <f>HYPERLINK("https://otsuka-europe-crm.veevavault.com/ui/#object/sent_email__v/VBLZ025E82HDORP", "SE-000284423")</f>
        <v>SE-000284423</v>
      </c>
      <c r="D555" s="4">
        <v>45937.658564814818</v>
      </c>
      <c r="E555" s="5">
        <v>1</v>
      </c>
      <c r="F555" s="5">
        <v>1</v>
      </c>
      <c r="G555" s="5">
        <v>0</v>
      </c>
      <c r="H555" s="4" t="s">
        <v>11</v>
      </c>
      <c r="I555" s="5">
        <v>0</v>
      </c>
      <c r="J555" s="4">
        <v>45937.607372685183</v>
      </c>
    </row>
    <row r="556" spans="1:10" x14ac:dyDescent="0.2">
      <c r="A556" s="2" t="s">
        <v>10</v>
      </c>
      <c r="B556" s="3" t="str">
        <f t="shared" si="15"/>
        <v>Email instauration Abilify Maintena 960 mg_FR-AM2-2400029</v>
      </c>
      <c r="C556" s="3" t="str">
        <f>HYPERLINK("https://otsuka-europe-crm.veevavault.com/ui/#object/sent_email__v/VBLZ025E82HDOUH", "SE-000284424")</f>
        <v>SE-000284424</v>
      </c>
      <c r="D556" s="4" t="s">
        <v>11</v>
      </c>
      <c r="E556" s="5">
        <v>0</v>
      </c>
      <c r="F556" s="5">
        <v>0</v>
      </c>
      <c r="G556" s="5">
        <v>0</v>
      </c>
      <c r="H556" s="4" t="s">
        <v>11</v>
      </c>
      <c r="I556" s="5">
        <v>0</v>
      </c>
      <c r="J556" s="4">
        <v>45937.607638888891</v>
      </c>
    </row>
    <row r="557" spans="1:10" x14ac:dyDescent="0.2">
      <c r="A557" s="2" t="s">
        <v>10</v>
      </c>
      <c r="B557" s="3" t="str">
        <f t="shared" ref="B557:B620" si="16">HYPERLINK("https://otsuka-europe-crm.veevavault.com/ui/#object/approved_document__v/V5OZ025E82N8159", "Email instauration Abilify Maintena 960 mg_FR-AM2-2400029")</f>
        <v>Email instauration Abilify Maintena 960 mg_FR-AM2-2400029</v>
      </c>
      <c r="C557" s="3" t="str">
        <f>HYPERLINK("https://otsuka-europe-crm.veevavault.com/ui/#object/sent_email__v/VBLZ025E82HDOX9", "SE-000284425")</f>
        <v>SE-000284425</v>
      </c>
      <c r="D557" s="4">
        <v>45958.849432870367</v>
      </c>
      <c r="E557" s="5">
        <v>1</v>
      </c>
      <c r="F557" s="5">
        <v>4</v>
      </c>
      <c r="G557" s="5">
        <v>0</v>
      </c>
      <c r="H557" s="4" t="s">
        <v>11</v>
      </c>
      <c r="I557" s="5">
        <v>0</v>
      </c>
      <c r="J557" s="4">
        <v>45937.608738425923</v>
      </c>
    </row>
    <row r="558" spans="1:10" x14ac:dyDescent="0.2">
      <c r="A558" s="2" t="s">
        <v>10</v>
      </c>
      <c r="B558" s="3" t="str">
        <f t="shared" si="16"/>
        <v>Email instauration Abilify Maintena 960 mg_FR-AM2-2400029</v>
      </c>
      <c r="C558" s="3" t="str">
        <f>HYPERLINK("https://otsuka-europe-crm.veevavault.com/ui/#object/sent_email__v/VBLZ025E82HDP01", "SE-000284426")</f>
        <v>SE-000284426</v>
      </c>
      <c r="D558" s="4">
        <v>45937.634201388886</v>
      </c>
      <c r="E558" s="5">
        <v>1</v>
      </c>
      <c r="F558" s="5">
        <v>1</v>
      </c>
      <c r="G558" s="5">
        <v>0</v>
      </c>
      <c r="H558" s="4" t="s">
        <v>11</v>
      </c>
      <c r="I558" s="5">
        <v>0</v>
      </c>
      <c r="J558" s="4">
        <v>45937.609027777777</v>
      </c>
    </row>
    <row r="559" spans="1:10" x14ac:dyDescent="0.2">
      <c r="A559" s="2" t="s">
        <v>10</v>
      </c>
      <c r="B559" s="3" t="str">
        <f t="shared" si="16"/>
        <v>Email instauration Abilify Maintena 960 mg_FR-AM2-2400029</v>
      </c>
      <c r="C559" s="3" t="str">
        <f>HYPERLINK("https://otsuka-europe-crm.veevavault.com/ui/#object/sent_email__v/VBLZ025E82HDP2T", "SE-000284427")</f>
        <v>SE-000284427</v>
      </c>
      <c r="D559" s="4" t="s">
        <v>11</v>
      </c>
      <c r="E559" s="5">
        <v>0</v>
      </c>
      <c r="F559" s="5">
        <v>0</v>
      </c>
      <c r="G559" s="5">
        <v>0</v>
      </c>
      <c r="H559" s="4" t="s">
        <v>11</v>
      </c>
      <c r="I559" s="5">
        <v>0</v>
      </c>
      <c r="J559" s="4">
        <v>45937.6093287037</v>
      </c>
    </row>
    <row r="560" spans="1:10" x14ac:dyDescent="0.2">
      <c r="A560" s="2" t="s">
        <v>10</v>
      </c>
      <c r="B560" s="3" t="str">
        <f t="shared" si="16"/>
        <v>Email instauration Abilify Maintena 960 mg_FR-AM2-2400029</v>
      </c>
      <c r="C560" s="3" t="str">
        <f>HYPERLINK("https://otsuka-europe-crm.veevavault.com/ui/#object/sent_email__v/VBLZ025E82HDP8D", "SE-000284428")</f>
        <v>SE-000284428</v>
      </c>
      <c r="D560" s="4" t="s">
        <v>11</v>
      </c>
      <c r="E560" s="5">
        <v>0</v>
      </c>
      <c r="F560" s="5">
        <v>0</v>
      </c>
      <c r="G560" s="5">
        <v>0</v>
      </c>
      <c r="H560" s="4" t="s">
        <v>11</v>
      </c>
      <c r="I560" s="5">
        <v>0</v>
      </c>
      <c r="J560" s="4">
        <v>45937.609606481485</v>
      </c>
    </row>
    <row r="561" spans="1:10" x14ac:dyDescent="0.2">
      <c r="A561" s="2" t="s">
        <v>10</v>
      </c>
      <c r="B561" s="3" t="str">
        <f t="shared" si="16"/>
        <v>Email instauration Abilify Maintena 960 mg_FR-AM2-2400029</v>
      </c>
      <c r="C561" s="3" t="str">
        <f>HYPERLINK("https://otsuka-europe-crm.veevavault.com/ui/#object/sent_email__v/VBLZ025E82HDPB5", "SE-000284429")</f>
        <v>SE-000284429</v>
      </c>
      <c r="D561" s="4">
        <v>45937.72996527778</v>
      </c>
      <c r="E561" s="5">
        <v>1</v>
      </c>
      <c r="F561" s="5">
        <v>1</v>
      </c>
      <c r="G561" s="5">
        <v>0</v>
      </c>
      <c r="H561" s="4" t="s">
        <v>11</v>
      </c>
      <c r="I561" s="5">
        <v>0</v>
      </c>
      <c r="J561" s="4">
        <v>45937.609907407408</v>
      </c>
    </row>
    <row r="562" spans="1:10" x14ac:dyDescent="0.2">
      <c r="A562" s="2" t="s">
        <v>10</v>
      </c>
      <c r="B562" s="3" t="str">
        <f t="shared" si="16"/>
        <v>Email instauration Abilify Maintena 960 mg_FR-AM2-2400029</v>
      </c>
      <c r="C562" s="3" t="str">
        <f>HYPERLINK("https://otsuka-europe-crm.veevavault.com/ui/#object/sent_email__v/VBLZ025E82HDPDX", "SE-000284430")</f>
        <v>SE-000284430</v>
      </c>
      <c r="D562" s="4" t="s">
        <v>11</v>
      </c>
      <c r="E562" s="5">
        <v>0</v>
      </c>
      <c r="F562" s="5">
        <v>0</v>
      </c>
      <c r="G562" s="5">
        <v>0</v>
      </c>
      <c r="H562" s="4" t="s">
        <v>11</v>
      </c>
      <c r="I562" s="5">
        <v>0</v>
      </c>
      <c r="J562" s="4">
        <v>45937.610092592593</v>
      </c>
    </row>
    <row r="563" spans="1:10" x14ac:dyDescent="0.2">
      <c r="A563" s="2" t="s">
        <v>10</v>
      </c>
      <c r="B563" s="3" t="str">
        <f t="shared" si="16"/>
        <v>Email instauration Abilify Maintena 960 mg_FR-AM2-2400029</v>
      </c>
      <c r="C563" s="3" t="str">
        <f>HYPERLINK("https://otsuka-europe-crm.veevavault.com/ui/#object/sent_email__v/VBLZ025E82HDPRT", "SE-000284431")</f>
        <v>SE-000284431</v>
      </c>
      <c r="D563" s="4" t="s">
        <v>11</v>
      </c>
      <c r="E563" s="5">
        <v>0</v>
      </c>
      <c r="F563" s="5">
        <v>0</v>
      </c>
      <c r="G563" s="5">
        <v>0</v>
      </c>
      <c r="H563" s="4" t="s">
        <v>11</v>
      </c>
      <c r="I563" s="5">
        <v>0</v>
      </c>
      <c r="J563" s="4">
        <v>45937.613703703704</v>
      </c>
    </row>
    <row r="564" spans="1:10" x14ac:dyDescent="0.2">
      <c r="A564" s="2" t="s">
        <v>10</v>
      </c>
      <c r="B564" s="3" t="str">
        <f t="shared" si="16"/>
        <v>Email instauration Abilify Maintena 960 mg_FR-AM2-2400029</v>
      </c>
      <c r="C564" s="3" t="str">
        <f>HYPERLINK("https://otsuka-europe-crm.veevavault.com/ui/#object/sent_email__v/VBLZ025E82HDPXD", "SE-000284432")</f>
        <v>SE-000284432</v>
      </c>
      <c r="D564" s="4">
        <v>45943.741030092591</v>
      </c>
      <c r="E564" s="5">
        <v>1</v>
      </c>
      <c r="F564" s="5">
        <v>2</v>
      </c>
      <c r="G564" s="5">
        <v>0</v>
      </c>
      <c r="H564" s="4" t="s">
        <v>11</v>
      </c>
      <c r="I564" s="5">
        <v>0</v>
      </c>
      <c r="J564" s="4">
        <v>45937.615023148152</v>
      </c>
    </row>
    <row r="565" spans="1:10" x14ac:dyDescent="0.2">
      <c r="A565" s="2" t="s">
        <v>10</v>
      </c>
      <c r="B565" s="3" t="str">
        <f t="shared" si="16"/>
        <v>Email instauration Abilify Maintena 960 mg_FR-AM2-2400029</v>
      </c>
      <c r="C565" s="3" t="str">
        <f>HYPERLINK("https://otsuka-europe-crm.veevavault.com/ui/#object/sent_email__v/VBLZ025E82HDQ05", "SE-000284433")</f>
        <v>SE-000284433</v>
      </c>
      <c r="D565" s="4">
        <v>45938.414861111109</v>
      </c>
      <c r="E565" s="5">
        <v>1</v>
      </c>
      <c r="F565" s="5">
        <v>1</v>
      </c>
      <c r="G565" s="5">
        <v>0</v>
      </c>
      <c r="H565" s="4" t="s">
        <v>11</v>
      </c>
      <c r="I565" s="5">
        <v>0</v>
      </c>
      <c r="J565" s="4">
        <v>45937.61519675926</v>
      </c>
    </row>
    <row r="566" spans="1:10" x14ac:dyDescent="0.2">
      <c r="A566" s="2" t="s">
        <v>10</v>
      </c>
      <c r="B566" s="3" t="str">
        <f t="shared" si="16"/>
        <v>Email instauration Abilify Maintena 960 mg_FR-AM2-2400029</v>
      </c>
      <c r="C566" s="3" t="str">
        <f>HYPERLINK("https://otsuka-europe-crm.veevavault.com/ui/#object/sent_email__v/VBLZ025E82HDQ2X", "SE-000284434")</f>
        <v>SE-000284434</v>
      </c>
      <c r="D566" s="4">
        <v>45937.762777777774</v>
      </c>
      <c r="E566" s="5">
        <v>1</v>
      </c>
      <c r="F566" s="5">
        <v>1</v>
      </c>
      <c r="G566" s="5">
        <v>0</v>
      </c>
      <c r="H566" s="4" t="s">
        <v>11</v>
      </c>
      <c r="I566" s="5">
        <v>0</v>
      </c>
      <c r="J566" s="4">
        <v>45937.615451388891</v>
      </c>
    </row>
    <row r="567" spans="1:10" x14ac:dyDescent="0.2">
      <c r="A567" s="2" t="s">
        <v>10</v>
      </c>
      <c r="B567" s="3" t="str">
        <f t="shared" si="16"/>
        <v>Email instauration Abilify Maintena 960 mg_FR-AM2-2400029</v>
      </c>
      <c r="C567" s="3" t="str">
        <f>HYPERLINK("https://otsuka-europe-crm.veevavault.com/ui/#object/sent_email__v/VBLZ025E82HDQ5P", "SE-000284435")</f>
        <v>SE-000284435</v>
      </c>
      <c r="D567" s="4" t="s">
        <v>11</v>
      </c>
      <c r="E567" s="5">
        <v>0</v>
      </c>
      <c r="F567" s="5">
        <v>0</v>
      </c>
      <c r="G567" s="5">
        <v>0</v>
      </c>
      <c r="H567" s="4" t="s">
        <v>11</v>
      </c>
      <c r="I567" s="5">
        <v>0</v>
      </c>
      <c r="J567" s="4">
        <v>45937.615717592591</v>
      </c>
    </row>
    <row r="568" spans="1:10" x14ac:dyDescent="0.2">
      <c r="A568" s="2" t="s">
        <v>10</v>
      </c>
      <c r="B568" s="3" t="str">
        <f t="shared" si="16"/>
        <v>Email instauration Abilify Maintena 960 mg_FR-AM2-2400029</v>
      </c>
      <c r="C568" s="3" t="str">
        <f>HYPERLINK("https://otsuka-europe-crm.veevavault.com/ui/#object/sent_email__v/VBLZ025E82HDQ8H", "SE-000284436")</f>
        <v>SE-000284436</v>
      </c>
      <c r="D568" s="4">
        <v>45937.76761574074</v>
      </c>
      <c r="E568" s="5">
        <v>1</v>
      </c>
      <c r="F568" s="5">
        <v>2</v>
      </c>
      <c r="G568" s="5">
        <v>0</v>
      </c>
      <c r="H568" s="4" t="s">
        <v>11</v>
      </c>
      <c r="I568" s="5">
        <v>0</v>
      </c>
      <c r="J568" s="4">
        <v>45937.615937499999</v>
      </c>
    </row>
    <row r="569" spans="1:10" x14ac:dyDescent="0.2">
      <c r="A569" s="2" t="s">
        <v>10</v>
      </c>
      <c r="B569" s="3" t="str">
        <f t="shared" si="16"/>
        <v>Email instauration Abilify Maintena 960 mg_FR-AM2-2400029</v>
      </c>
      <c r="C569" s="3" t="str">
        <f>HYPERLINK("https://otsuka-europe-crm.veevavault.com/ui/#object/sent_email__v/VBLZ025E82HDQB9", "SE-000284437")</f>
        <v>SE-000284437</v>
      </c>
      <c r="D569" s="4">
        <v>45937.623518518521</v>
      </c>
      <c r="E569" s="5">
        <v>1</v>
      </c>
      <c r="F569" s="5">
        <v>1</v>
      </c>
      <c r="G569" s="5">
        <v>0</v>
      </c>
      <c r="H569" s="4" t="s">
        <v>11</v>
      </c>
      <c r="I569" s="5">
        <v>0</v>
      </c>
      <c r="J569" s="4">
        <v>45937.616342592592</v>
      </c>
    </row>
    <row r="570" spans="1:10" x14ac:dyDescent="0.2">
      <c r="A570" s="2" t="s">
        <v>10</v>
      </c>
      <c r="B570" s="3" t="str">
        <f t="shared" si="16"/>
        <v>Email instauration Abilify Maintena 960 mg_FR-AM2-2400029</v>
      </c>
      <c r="C570" s="3" t="str">
        <f>HYPERLINK("https://otsuka-europe-crm.veevavault.com/ui/#object/sent_email__v/VBLZ025E82HDPP2", "SE-000284438")</f>
        <v>SE-000284438</v>
      </c>
      <c r="D570" s="4" t="s">
        <v>11</v>
      </c>
      <c r="E570" s="5">
        <v>0</v>
      </c>
      <c r="F570" s="5">
        <v>0</v>
      </c>
      <c r="G570" s="5">
        <v>0</v>
      </c>
      <c r="H570" s="4" t="s">
        <v>11</v>
      </c>
      <c r="I570" s="5">
        <v>0</v>
      </c>
      <c r="J570" s="4">
        <v>45937.616585648146</v>
      </c>
    </row>
    <row r="571" spans="1:10" x14ac:dyDescent="0.2">
      <c r="A571" s="2" t="s">
        <v>10</v>
      </c>
      <c r="B571" s="3" t="str">
        <f t="shared" si="16"/>
        <v>Email instauration Abilify Maintena 960 mg_FR-AM2-2400029</v>
      </c>
      <c r="C571" s="3" t="str">
        <f>HYPERLINK("https://otsuka-europe-crm.veevavault.com/ui/#object/sent_email__v/VBLZ025E82HDQP5", "SE-000284439")</f>
        <v>SE-000284439</v>
      </c>
      <c r="D571" s="4">
        <v>45958.547685185185</v>
      </c>
      <c r="E571" s="5">
        <v>1</v>
      </c>
      <c r="F571" s="5">
        <v>2</v>
      </c>
      <c r="G571" s="5">
        <v>0</v>
      </c>
      <c r="H571" s="4" t="s">
        <v>11</v>
      </c>
      <c r="I571" s="5">
        <v>0</v>
      </c>
      <c r="J571" s="4">
        <v>45937.616805555554</v>
      </c>
    </row>
    <row r="572" spans="1:10" x14ac:dyDescent="0.2">
      <c r="A572" s="2" t="s">
        <v>10</v>
      </c>
      <c r="B572" s="3" t="str">
        <f t="shared" si="16"/>
        <v>Email instauration Abilify Maintena 960 mg_FR-AM2-2400029</v>
      </c>
      <c r="C572" s="3" t="str">
        <f>HYPERLINK("https://otsuka-europe-crm.veevavault.com/ui/#object/sent_email__v/VBLZ025E82HDQRX", "SE-000284440")</f>
        <v>SE-000284440</v>
      </c>
      <c r="D572" s="4">
        <v>45937.716643518521</v>
      </c>
      <c r="E572" s="5">
        <v>1</v>
      </c>
      <c r="F572" s="5">
        <v>2</v>
      </c>
      <c r="G572" s="5">
        <v>0</v>
      </c>
      <c r="H572" s="4" t="s">
        <v>11</v>
      </c>
      <c r="I572" s="5">
        <v>0</v>
      </c>
      <c r="J572" s="4">
        <v>45937.616990740738</v>
      </c>
    </row>
    <row r="573" spans="1:10" x14ac:dyDescent="0.2">
      <c r="A573" s="2" t="s">
        <v>10</v>
      </c>
      <c r="B573" s="3" t="str">
        <f t="shared" si="16"/>
        <v>Email instauration Abilify Maintena 960 mg_FR-AM2-2400029</v>
      </c>
      <c r="C573" s="3" t="str">
        <f>HYPERLINK("https://otsuka-europe-crm.veevavault.com/ui/#object/sent_email__v/VBLZ025E82HDQXH", "SE-000284441")</f>
        <v>SE-000284441</v>
      </c>
      <c r="D573" s="4">
        <v>45938.568749999999</v>
      </c>
      <c r="E573" s="5">
        <v>1</v>
      </c>
      <c r="F573" s="5">
        <v>2</v>
      </c>
      <c r="G573" s="5">
        <v>0</v>
      </c>
      <c r="H573" s="4" t="s">
        <v>11</v>
      </c>
      <c r="I573" s="5">
        <v>0</v>
      </c>
      <c r="J573" s="4">
        <v>45937.618090277778</v>
      </c>
    </row>
    <row r="574" spans="1:10" x14ac:dyDescent="0.2">
      <c r="A574" s="2" t="s">
        <v>10</v>
      </c>
      <c r="B574" s="3" t="str">
        <f t="shared" si="16"/>
        <v>Email instauration Abilify Maintena 960 mg_FR-AM2-2400029</v>
      </c>
      <c r="C574" s="3" t="str">
        <f>HYPERLINK("https://otsuka-europe-crm.veevavault.com/ui/#object/sent_email__v/VBLZ025E82HDR09", "SE-000284442")</f>
        <v>SE-000284442</v>
      </c>
      <c r="D574" s="4" t="s">
        <v>11</v>
      </c>
      <c r="E574" s="5">
        <v>0</v>
      </c>
      <c r="F574" s="5">
        <v>0</v>
      </c>
      <c r="G574" s="5">
        <v>0</v>
      </c>
      <c r="H574" s="4" t="s">
        <v>11</v>
      </c>
      <c r="I574" s="5">
        <v>0</v>
      </c>
      <c r="J574" s="4">
        <v>45937.618402777778</v>
      </c>
    </row>
    <row r="575" spans="1:10" x14ac:dyDescent="0.2">
      <c r="A575" s="2" t="s">
        <v>10</v>
      </c>
      <c r="B575" s="3" t="str">
        <f t="shared" si="16"/>
        <v>Email instauration Abilify Maintena 960 mg_FR-AM2-2400029</v>
      </c>
      <c r="C575" s="3" t="str">
        <f>HYPERLINK("https://otsuka-europe-crm.veevavault.com/ui/#object/sent_email__v/VBLZ025E82HDR31", "SE-000284443")</f>
        <v>SE-000284443</v>
      </c>
      <c r="D575" s="4" t="s">
        <v>11</v>
      </c>
      <c r="E575" s="5">
        <v>0</v>
      </c>
      <c r="F575" s="5">
        <v>0</v>
      </c>
      <c r="G575" s="5">
        <v>0</v>
      </c>
      <c r="H575" s="4" t="s">
        <v>11</v>
      </c>
      <c r="I575" s="5">
        <v>0</v>
      </c>
      <c r="J575" s="4">
        <v>45937.618773148148</v>
      </c>
    </row>
    <row r="576" spans="1:10" x14ac:dyDescent="0.2">
      <c r="A576" s="2" t="s">
        <v>10</v>
      </c>
      <c r="B576" s="3" t="str">
        <f t="shared" si="16"/>
        <v>Email instauration Abilify Maintena 960 mg_FR-AM2-2400029</v>
      </c>
      <c r="C576" s="3" t="str">
        <f>HYPERLINK("https://otsuka-europe-crm.veevavault.com/ui/#object/sent_email__v/VBLZ025E82HDR8L", "SE-000284444")</f>
        <v>SE-000284444</v>
      </c>
      <c r="D576" s="4">
        <v>45939.418483796297</v>
      </c>
      <c r="E576" s="5">
        <v>1</v>
      </c>
      <c r="F576" s="5">
        <v>1</v>
      </c>
      <c r="G576" s="5">
        <v>0</v>
      </c>
      <c r="H576" s="4" t="s">
        <v>11</v>
      </c>
      <c r="I576" s="5">
        <v>0</v>
      </c>
      <c r="J576" s="4">
        <v>45937.619108796294</v>
      </c>
    </row>
    <row r="577" spans="1:10" x14ac:dyDescent="0.2">
      <c r="A577" s="2" t="s">
        <v>10</v>
      </c>
      <c r="B577" s="3" t="str">
        <f t="shared" si="16"/>
        <v>Email instauration Abilify Maintena 960 mg_FR-AM2-2400029</v>
      </c>
      <c r="C577" s="3" t="str">
        <f>HYPERLINK("https://otsuka-europe-crm.veevavault.com/ui/#object/sent_email__v/VBLZ025E82HDMRI", "SE-000284445")</f>
        <v>SE-000284445</v>
      </c>
      <c r="D577" s="4">
        <v>45938.411469907405</v>
      </c>
      <c r="E577" s="5">
        <v>1</v>
      </c>
      <c r="F577" s="5">
        <v>1</v>
      </c>
      <c r="G577" s="5">
        <v>0</v>
      </c>
      <c r="H577" s="4" t="s">
        <v>11</v>
      </c>
      <c r="I577" s="5">
        <v>0</v>
      </c>
      <c r="J577" s="4">
        <v>45937.619745370372</v>
      </c>
    </row>
    <row r="578" spans="1:10" x14ac:dyDescent="0.2">
      <c r="A578" s="2" t="s">
        <v>10</v>
      </c>
      <c r="B578" s="3" t="str">
        <f t="shared" si="16"/>
        <v>Email instauration Abilify Maintena 960 mg_FR-AM2-2400029</v>
      </c>
      <c r="C578" s="3" t="str">
        <f>HYPERLINK("https://otsuka-europe-crm.veevavault.com/ui/#object/sent_email__v/VBLZ025E82HDNZY", "SE-000284446")</f>
        <v>SE-000284446</v>
      </c>
      <c r="D578" s="4">
        <v>45947.881840277776</v>
      </c>
      <c r="E578" s="5">
        <v>1</v>
      </c>
      <c r="F578" s="5">
        <v>1</v>
      </c>
      <c r="G578" s="5">
        <v>0</v>
      </c>
      <c r="H578" s="4" t="s">
        <v>11</v>
      </c>
      <c r="I578" s="5">
        <v>0</v>
      </c>
      <c r="J578" s="4">
        <v>45937.61996527778</v>
      </c>
    </row>
    <row r="579" spans="1:10" x14ac:dyDescent="0.2">
      <c r="A579" s="2" t="s">
        <v>10</v>
      </c>
      <c r="B579" s="3" t="str">
        <f t="shared" si="16"/>
        <v>Email instauration Abilify Maintena 960 mg_FR-AM2-2400029</v>
      </c>
      <c r="C579" s="3" t="str">
        <f>HYPERLINK("https://otsuka-europe-crm.veevavault.com/ui/#object/sent_email__v/VBLZ025E82HDRE5", "SE-000284447")</f>
        <v>SE-000284447</v>
      </c>
      <c r="D579" s="4">
        <v>45939.715717592589</v>
      </c>
      <c r="E579" s="5">
        <v>1</v>
      </c>
      <c r="F579" s="5">
        <v>3</v>
      </c>
      <c r="G579" s="5">
        <v>0</v>
      </c>
      <c r="H579" s="4" t="s">
        <v>11</v>
      </c>
      <c r="I579" s="5">
        <v>0</v>
      </c>
      <c r="J579" s="4">
        <v>45937.620162037034</v>
      </c>
    </row>
    <row r="580" spans="1:10" x14ac:dyDescent="0.2">
      <c r="A580" s="2" t="s">
        <v>10</v>
      </c>
      <c r="B580" s="3" t="str">
        <f t="shared" si="16"/>
        <v>Email instauration Abilify Maintena 960 mg_FR-AM2-2400029</v>
      </c>
      <c r="C580" s="3" t="str">
        <f>HYPERLINK("https://otsuka-europe-crm.veevavault.com/ui/#object/sent_email__v/VBLZ025E82HDRGX", "SE-000284448")</f>
        <v>SE-000284448</v>
      </c>
      <c r="D580" s="4" t="s">
        <v>11</v>
      </c>
      <c r="E580" s="5">
        <v>0</v>
      </c>
      <c r="F580" s="5">
        <v>0</v>
      </c>
      <c r="G580" s="5">
        <v>0</v>
      </c>
      <c r="H580" s="4" t="s">
        <v>11</v>
      </c>
      <c r="I580" s="5">
        <v>0</v>
      </c>
      <c r="J580" s="4">
        <v>45937.620358796295</v>
      </c>
    </row>
    <row r="581" spans="1:10" x14ac:dyDescent="0.2">
      <c r="A581" s="2" t="s">
        <v>10</v>
      </c>
      <c r="B581" s="3" t="str">
        <f t="shared" si="16"/>
        <v>Email instauration Abilify Maintena 960 mg_FR-AM2-2400029</v>
      </c>
      <c r="C581" s="3" t="str">
        <f>HYPERLINK("https://otsuka-europe-crm.veevavault.com/ui/#object/sent_email__v/VBLZ025E82HDRJP", "SE-000284449")</f>
        <v>SE-000284449</v>
      </c>
      <c r="D581" s="4" t="s">
        <v>11</v>
      </c>
      <c r="E581" s="5">
        <v>0</v>
      </c>
      <c r="F581" s="5">
        <v>0</v>
      </c>
      <c r="G581" s="5">
        <v>0</v>
      </c>
      <c r="H581" s="4" t="s">
        <v>11</v>
      </c>
      <c r="I581" s="5">
        <v>0</v>
      </c>
      <c r="J581" s="4">
        <v>45937.620520833334</v>
      </c>
    </row>
    <row r="582" spans="1:10" x14ac:dyDescent="0.2">
      <c r="A582" s="2" t="s">
        <v>10</v>
      </c>
      <c r="B582" s="3" t="str">
        <f t="shared" si="16"/>
        <v>Email instauration Abilify Maintena 960 mg_FR-AM2-2400029</v>
      </c>
      <c r="C582" s="3" t="str">
        <f>HYPERLINK("https://otsuka-europe-crm.veevavault.com/ui/#object/sent_email__v/VBLZ025E82HDRMH", "SE-000284450")</f>
        <v>SE-000284450</v>
      </c>
      <c r="D582" s="4">
        <v>45939.719317129631</v>
      </c>
      <c r="E582" s="5">
        <v>1</v>
      </c>
      <c r="F582" s="5">
        <v>4</v>
      </c>
      <c r="G582" s="5">
        <v>0</v>
      </c>
      <c r="H582" s="4" t="s">
        <v>11</v>
      </c>
      <c r="I582" s="5">
        <v>0</v>
      </c>
      <c r="J582" s="4">
        <v>45937.620752314811</v>
      </c>
    </row>
    <row r="583" spans="1:10" x14ac:dyDescent="0.2">
      <c r="A583" s="2" t="s">
        <v>10</v>
      </c>
      <c r="B583" s="3" t="str">
        <f t="shared" si="16"/>
        <v>Email instauration Abilify Maintena 960 mg_FR-AM2-2400029</v>
      </c>
      <c r="C583" s="3" t="str">
        <f>HYPERLINK("https://otsuka-europe-crm.veevavault.com/ui/#object/sent_email__v/VBLZ025E82HDRP9", "SE-000284451")</f>
        <v>SE-000284451</v>
      </c>
      <c r="D583" s="4">
        <v>45937.636840277781</v>
      </c>
      <c r="E583" s="5">
        <v>1</v>
      </c>
      <c r="F583" s="5">
        <v>2</v>
      </c>
      <c r="G583" s="5">
        <v>0</v>
      </c>
      <c r="H583" s="4" t="s">
        <v>11</v>
      </c>
      <c r="I583" s="5">
        <v>0</v>
      </c>
      <c r="J583" s="4">
        <v>45937.620925925927</v>
      </c>
    </row>
    <row r="584" spans="1:10" x14ac:dyDescent="0.2">
      <c r="A584" s="2" t="s">
        <v>10</v>
      </c>
      <c r="B584" s="3" t="str">
        <f t="shared" si="16"/>
        <v>Email instauration Abilify Maintena 960 mg_FR-AM2-2400029</v>
      </c>
      <c r="C584" s="3" t="str">
        <f>HYPERLINK("https://otsuka-europe-crm.veevavault.com/ui/#object/sent_email__v/VBLZ025E82HDRS1", "SE-000284452")</f>
        <v>SE-000284452</v>
      </c>
      <c r="D584" s="4" t="s">
        <v>11</v>
      </c>
      <c r="E584" s="5">
        <v>0</v>
      </c>
      <c r="F584" s="5">
        <v>0</v>
      </c>
      <c r="G584" s="5">
        <v>0</v>
      </c>
      <c r="H584" s="4" t="s">
        <v>11</v>
      </c>
      <c r="I584" s="5">
        <v>0</v>
      </c>
      <c r="J584" s="4">
        <v>45937.621157407404</v>
      </c>
    </row>
    <row r="585" spans="1:10" x14ac:dyDescent="0.2">
      <c r="A585" s="2" t="s">
        <v>10</v>
      </c>
      <c r="B585" s="3" t="str">
        <f t="shared" si="16"/>
        <v>Email instauration Abilify Maintena 960 mg_FR-AM2-2400029</v>
      </c>
      <c r="C585" s="3" t="str">
        <f>HYPERLINK("https://otsuka-europe-crm.veevavault.com/ui/#object/sent_email__v/VBLZ025E82HDRUT", "SE-000284453")</f>
        <v>SE-000284453</v>
      </c>
      <c r="D585" s="4">
        <v>45937.621435185189</v>
      </c>
      <c r="E585" s="5">
        <v>1</v>
      </c>
      <c r="F585" s="5">
        <v>1</v>
      </c>
      <c r="G585" s="5">
        <v>0</v>
      </c>
      <c r="H585" s="4" t="s">
        <v>11</v>
      </c>
      <c r="I585" s="5">
        <v>0</v>
      </c>
      <c r="J585" s="4">
        <v>45937.621388888889</v>
      </c>
    </row>
    <row r="586" spans="1:10" x14ac:dyDescent="0.2">
      <c r="A586" s="2" t="s">
        <v>10</v>
      </c>
      <c r="B586" s="3" t="str">
        <f t="shared" si="16"/>
        <v>Email instauration Abilify Maintena 960 mg_FR-AM2-2400029</v>
      </c>
      <c r="C586" s="3" t="str">
        <f>HYPERLINK("https://otsuka-europe-crm.veevavault.com/ui/#object/sent_email__v/VBLZ025E82HDRXL", "SE-000284454")</f>
        <v>SE-000284454</v>
      </c>
      <c r="D586" s="4">
        <v>45937.761516203704</v>
      </c>
      <c r="E586" s="5">
        <v>1</v>
      </c>
      <c r="F586" s="5">
        <v>1</v>
      </c>
      <c r="G586" s="5">
        <v>0</v>
      </c>
      <c r="H586" s="4" t="s">
        <v>11</v>
      </c>
      <c r="I586" s="5">
        <v>0</v>
      </c>
      <c r="J586" s="4">
        <v>45937.621631944443</v>
      </c>
    </row>
    <row r="587" spans="1:10" x14ac:dyDescent="0.2">
      <c r="A587" s="2" t="s">
        <v>10</v>
      </c>
      <c r="B587" s="3" t="str">
        <f t="shared" si="16"/>
        <v>Email instauration Abilify Maintena 960 mg_FR-AM2-2400029</v>
      </c>
      <c r="C587" s="3" t="str">
        <f>HYPERLINK("https://otsuka-europe-crm.veevavault.com/ui/#object/sent_email__v/VBLZ025E82HDS0D", "SE-000284455")</f>
        <v>SE-000284455</v>
      </c>
      <c r="D587" s="4">
        <v>45938.80773148148</v>
      </c>
      <c r="E587" s="5">
        <v>1</v>
      </c>
      <c r="F587" s="5">
        <v>1</v>
      </c>
      <c r="G587" s="5">
        <v>0</v>
      </c>
      <c r="H587" s="4" t="s">
        <v>11</v>
      </c>
      <c r="I587" s="5">
        <v>0</v>
      </c>
      <c r="J587" s="4">
        <v>45937.621828703705</v>
      </c>
    </row>
    <row r="588" spans="1:10" x14ac:dyDescent="0.2">
      <c r="A588" s="2" t="s">
        <v>10</v>
      </c>
      <c r="B588" s="3" t="str">
        <f t="shared" si="16"/>
        <v>Email instauration Abilify Maintena 960 mg_FR-AM2-2400029</v>
      </c>
      <c r="C588" s="3" t="str">
        <f>HYPERLINK("https://otsuka-europe-crm.veevavault.com/ui/#object/sent_email__v/VBLZ025E82HDS35", "SE-000284456")</f>
        <v>SE-000284456</v>
      </c>
      <c r="D588" s="4">
        <v>45961.532939814817</v>
      </c>
      <c r="E588" s="5">
        <v>1</v>
      </c>
      <c r="F588" s="5">
        <v>1</v>
      </c>
      <c r="G588" s="5">
        <v>0</v>
      </c>
      <c r="H588" s="4" t="s">
        <v>11</v>
      </c>
      <c r="I588" s="5">
        <v>0</v>
      </c>
      <c r="J588" s="4">
        <v>45937.622094907405</v>
      </c>
    </row>
    <row r="589" spans="1:10" x14ac:dyDescent="0.2">
      <c r="A589" s="2" t="s">
        <v>10</v>
      </c>
      <c r="B589" s="3" t="str">
        <f t="shared" si="16"/>
        <v>Email instauration Abilify Maintena 960 mg_FR-AM2-2400029</v>
      </c>
      <c r="C589" s="3" t="str">
        <f>HYPERLINK("https://otsuka-europe-crm.veevavault.com/ui/#object/sent_email__v/VBLZ025E82HDS5X", "SE-000284457")</f>
        <v>SE-000284457</v>
      </c>
      <c r="D589" s="4">
        <v>45937.92690972222</v>
      </c>
      <c r="E589" s="5">
        <v>1</v>
      </c>
      <c r="F589" s="5">
        <v>3</v>
      </c>
      <c r="G589" s="5">
        <v>0</v>
      </c>
      <c r="H589" s="4" t="s">
        <v>11</v>
      </c>
      <c r="I589" s="5">
        <v>0</v>
      </c>
      <c r="J589" s="4">
        <v>45937.62232638889</v>
      </c>
    </row>
    <row r="590" spans="1:10" x14ac:dyDescent="0.2">
      <c r="A590" s="2" t="s">
        <v>10</v>
      </c>
      <c r="B590" s="3" t="str">
        <f t="shared" si="16"/>
        <v>Email instauration Abilify Maintena 960 mg_FR-AM2-2400029</v>
      </c>
      <c r="C590" s="3" t="str">
        <f>HYPERLINK("https://otsuka-europe-crm.veevavault.com/ui/#object/sent_email__v/VBLZ025E82HDS8P", "SE-000284458")</f>
        <v>SE-000284458</v>
      </c>
      <c r="D590" s="4" t="s">
        <v>11</v>
      </c>
      <c r="E590" s="5">
        <v>0</v>
      </c>
      <c r="F590" s="5">
        <v>0</v>
      </c>
      <c r="G590" s="5">
        <v>0</v>
      </c>
      <c r="H590" s="4" t="s">
        <v>11</v>
      </c>
      <c r="I590" s="5">
        <v>0</v>
      </c>
      <c r="J590" s="4">
        <v>45937.62259259259</v>
      </c>
    </row>
    <row r="591" spans="1:10" x14ac:dyDescent="0.2">
      <c r="A591" s="2" t="s">
        <v>10</v>
      </c>
      <c r="B591" s="3" t="str">
        <f t="shared" si="16"/>
        <v>Email instauration Abilify Maintena 960 mg_FR-AM2-2400029</v>
      </c>
      <c r="C591" s="3" t="str">
        <f>HYPERLINK("https://otsuka-europe-crm.veevavault.com/ui/#object/sent_email__v/VBLZ025E82HDSBH", "SE-000284459")</f>
        <v>SE-000284459</v>
      </c>
      <c r="D591" s="4" t="s">
        <v>11</v>
      </c>
      <c r="E591" s="5">
        <v>0</v>
      </c>
      <c r="F591" s="5">
        <v>0</v>
      </c>
      <c r="G591" s="5">
        <v>0</v>
      </c>
      <c r="H591" s="4" t="s">
        <v>11</v>
      </c>
      <c r="I591" s="5">
        <v>0</v>
      </c>
      <c r="J591" s="4">
        <v>45937.622754629629</v>
      </c>
    </row>
    <row r="592" spans="1:10" x14ac:dyDescent="0.2">
      <c r="A592" s="2" t="s">
        <v>10</v>
      </c>
      <c r="B592" s="3" t="str">
        <f t="shared" si="16"/>
        <v>Email instauration Abilify Maintena 960 mg_FR-AM2-2400029</v>
      </c>
      <c r="C592" s="3" t="str">
        <f>HYPERLINK("https://otsuka-europe-crm.veevavault.com/ui/#object/sent_email__v/VBLZ025E82HDSE9", "SE-000284460")</f>
        <v>SE-000284460</v>
      </c>
      <c r="D592" s="4">
        <v>45945.837314814817</v>
      </c>
      <c r="E592" s="5">
        <v>1</v>
      </c>
      <c r="F592" s="5">
        <v>3</v>
      </c>
      <c r="G592" s="5">
        <v>0</v>
      </c>
      <c r="H592" s="4" t="s">
        <v>11</v>
      </c>
      <c r="I592" s="5">
        <v>0</v>
      </c>
      <c r="J592" s="4">
        <v>45937.623113425929</v>
      </c>
    </row>
    <row r="593" spans="1:10" x14ac:dyDescent="0.2">
      <c r="A593" s="2" t="s">
        <v>10</v>
      </c>
      <c r="B593" s="3" t="str">
        <f t="shared" si="16"/>
        <v>Email instauration Abilify Maintena 960 mg_FR-AM2-2400029</v>
      </c>
      <c r="C593" s="3" t="str">
        <f>HYPERLINK("https://otsuka-europe-crm.veevavault.com/ui/#object/sent_email__v/VBLZ025E82HDSH1", "SE-000284461")</f>
        <v>SE-000284461</v>
      </c>
      <c r="D593" s="4">
        <v>45938.466412037036</v>
      </c>
      <c r="E593" s="5">
        <v>1</v>
      </c>
      <c r="F593" s="5">
        <v>1</v>
      </c>
      <c r="G593" s="5">
        <v>0</v>
      </c>
      <c r="H593" s="4" t="s">
        <v>11</v>
      </c>
      <c r="I593" s="5">
        <v>0</v>
      </c>
      <c r="J593" s="4">
        <v>45937.623460648145</v>
      </c>
    </row>
    <row r="594" spans="1:10" x14ac:dyDescent="0.2">
      <c r="A594" s="2" t="s">
        <v>10</v>
      </c>
      <c r="B594" s="3" t="str">
        <f t="shared" si="16"/>
        <v>Email instauration Abilify Maintena 960 mg_FR-AM2-2400029</v>
      </c>
      <c r="C594" s="3" t="str">
        <f>HYPERLINK("https://otsuka-europe-crm.veevavault.com/ui/#object/sent_email__v/VBLZ025E82HDSML", "SE-000284462")</f>
        <v>SE-000284462</v>
      </c>
      <c r="D594" s="4" t="s">
        <v>11</v>
      </c>
      <c r="E594" s="5">
        <v>0</v>
      </c>
      <c r="F594" s="5">
        <v>0</v>
      </c>
      <c r="G594" s="5">
        <v>0</v>
      </c>
      <c r="H594" s="4" t="s">
        <v>11</v>
      </c>
      <c r="I594" s="5">
        <v>0</v>
      </c>
      <c r="J594" s="4">
        <v>45937.623703703706</v>
      </c>
    </row>
    <row r="595" spans="1:10" x14ac:dyDescent="0.2">
      <c r="A595" s="2" t="s">
        <v>10</v>
      </c>
      <c r="B595" s="3" t="str">
        <f t="shared" si="16"/>
        <v>Email instauration Abilify Maintena 960 mg_FR-AM2-2400029</v>
      </c>
      <c r="C595" s="3" t="str">
        <f>HYPERLINK("https://otsuka-europe-crm.veevavault.com/ui/#object/sent_email__v/VBLZ025E82HDSS5", "SE-000284463")</f>
        <v>SE-000284463</v>
      </c>
      <c r="D595" s="4" t="s">
        <v>11</v>
      </c>
      <c r="E595" s="5">
        <v>0</v>
      </c>
      <c r="F595" s="5">
        <v>0</v>
      </c>
      <c r="G595" s="5">
        <v>0</v>
      </c>
      <c r="H595" s="4" t="s">
        <v>11</v>
      </c>
      <c r="I595" s="5">
        <v>0</v>
      </c>
      <c r="J595" s="4">
        <v>45937.623865740738</v>
      </c>
    </row>
    <row r="596" spans="1:10" x14ac:dyDescent="0.2">
      <c r="A596" s="2" t="s">
        <v>10</v>
      </c>
      <c r="B596" s="3" t="str">
        <f t="shared" si="16"/>
        <v>Email instauration Abilify Maintena 960 mg_FR-AM2-2400029</v>
      </c>
      <c r="C596" s="3" t="str">
        <f>HYPERLINK("https://otsuka-europe-crm.veevavault.com/ui/#object/sent_email__v/VBLZ025E82HDSUX", "SE-000284464")</f>
        <v>SE-000284464</v>
      </c>
      <c r="D596" s="4">
        <v>45937.644826388889</v>
      </c>
      <c r="E596" s="5">
        <v>1</v>
      </c>
      <c r="F596" s="5">
        <v>2</v>
      </c>
      <c r="G596" s="5">
        <v>0</v>
      </c>
      <c r="H596" s="4" t="s">
        <v>11</v>
      </c>
      <c r="I596" s="5">
        <v>0</v>
      </c>
      <c r="J596" s="4">
        <v>45937.624085648145</v>
      </c>
    </row>
    <row r="597" spans="1:10" x14ac:dyDescent="0.2">
      <c r="A597" s="2" t="s">
        <v>10</v>
      </c>
      <c r="B597" s="3" t="str">
        <f t="shared" si="16"/>
        <v>Email instauration Abilify Maintena 960 mg_FR-AM2-2400029</v>
      </c>
      <c r="C597" s="3" t="str">
        <f>HYPERLINK("https://otsuka-europe-crm.veevavault.com/ui/#object/sent_email__v/VBLZ025E82HDSXP", "SE-000284465")</f>
        <v>SE-000284465</v>
      </c>
      <c r="D597" s="4" t="s">
        <v>11</v>
      </c>
      <c r="E597" s="5">
        <v>0</v>
      </c>
      <c r="F597" s="5">
        <v>0</v>
      </c>
      <c r="G597" s="5">
        <v>0</v>
      </c>
      <c r="H597" s="4" t="s">
        <v>11</v>
      </c>
      <c r="I597" s="5">
        <v>0</v>
      </c>
      <c r="J597" s="4">
        <v>45937.624247685184</v>
      </c>
    </row>
    <row r="598" spans="1:10" x14ac:dyDescent="0.2">
      <c r="A598" s="2" t="s">
        <v>10</v>
      </c>
      <c r="B598" s="3" t="str">
        <f t="shared" si="16"/>
        <v>Email instauration Abilify Maintena 960 mg_FR-AM2-2400029</v>
      </c>
      <c r="C598" s="3" t="str">
        <f>HYPERLINK("https://otsuka-europe-crm.veevavault.com/ui/#object/sent_email__v/VBLZ025E82HDT39", "SE-000284466")</f>
        <v>SE-000284466</v>
      </c>
      <c r="D598" s="4" t="s">
        <v>11</v>
      </c>
      <c r="E598" s="5">
        <v>0</v>
      </c>
      <c r="F598" s="5">
        <v>0</v>
      </c>
      <c r="G598" s="5">
        <v>0</v>
      </c>
      <c r="H598" s="4" t="s">
        <v>11</v>
      </c>
      <c r="I598" s="5">
        <v>0</v>
      </c>
      <c r="J598" s="4">
        <v>45937.624444444446</v>
      </c>
    </row>
    <row r="599" spans="1:10" x14ac:dyDescent="0.2">
      <c r="A599" s="2" t="s">
        <v>10</v>
      </c>
      <c r="B599" s="3" t="str">
        <f t="shared" si="16"/>
        <v>Email instauration Abilify Maintena 960 mg_FR-AM2-2400029</v>
      </c>
      <c r="C599" s="3" t="str">
        <f>HYPERLINK("https://otsuka-europe-crm.veevavault.com/ui/#object/sent_email__v/VBLZ025E82HDT61", "SE-000284467")</f>
        <v>SE-000284467</v>
      </c>
      <c r="D599" s="4">
        <v>45938.89707175926</v>
      </c>
      <c r="E599" s="5">
        <v>1</v>
      </c>
      <c r="F599" s="5">
        <v>2</v>
      </c>
      <c r="G599" s="5">
        <v>0</v>
      </c>
      <c r="H599" s="4" t="s">
        <v>11</v>
      </c>
      <c r="I599" s="5">
        <v>0</v>
      </c>
      <c r="J599" s="4">
        <v>45937.624664351853</v>
      </c>
    </row>
    <row r="600" spans="1:10" x14ac:dyDescent="0.2">
      <c r="A600" s="2" t="s">
        <v>10</v>
      </c>
      <c r="B600" s="3" t="str">
        <f t="shared" si="16"/>
        <v>Email instauration Abilify Maintena 960 mg_FR-AM2-2400029</v>
      </c>
      <c r="C600" s="3" t="str">
        <f>HYPERLINK("https://otsuka-europe-crm.veevavault.com/ui/#object/sent_email__v/VBLZ025E82HDT8T", "SE-000284468")</f>
        <v>SE-000284468</v>
      </c>
      <c r="D600" s="4" t="s">
        <v>11</v>
      </c>
      <c r="E600" s="5">
        <v>0</v>
      </c>
      <c r="F600" s="5">
        <v>0</v>
      </c>
      <c r="G600" s="5">
        <v>0</v>
      </c>
      <c r="H600" s="4" t="s">
        <v>11</v>
      </c>
      <c r="I600" s="5">
        <v>0</v>
      </c>
      <c r="J600" s="4">
        <v>45937.624803240738</v>
      </c>
    </row>
    <row r="601" spans="1:10" x14ac:dyDescent="0.2">
      <c r="A601" s="2" t="s">
        <v>10</v>
      </c>
      <c r="B601" s="3" t="str">
        <f t="shared" si="16"/>
        <v>Email instauration Abilify Maintena 960 mg_FR-AM2-2400029</v>
      </c>
      <c r="C601" s="3" t="str">
        <f>HYPERLINK("https://otsuka-europe-crm.veevavault.com/ui/#object/sent_email__v/VBLZ025E82HDTED", "SE-000284469")</f>
        <v>SE-000284469</v>
      </c>
      <c r="D601" s="4">
        <v>45937.640277777777</v>
      </c>
      <c r="E601" s="5">
        <v>1</v>
      </c>
      <c r="F601" s="5">
        <v>4</v>
      </c>
      <c r="G601" s="5">
        <v>0</v>
      </c>
      <c r="H601" s="4" t="s">
        <v>11</v>
      </c>
      <c r="I601" s="5">
        <v>0</v>
      </c>
      <c r="J601" s="4">
        <v>45937.625358796293</v>
      </c>
    </row>
    <row r="602" spans="1:10" x14ac:dyDescent="0.2">
      <c r="A602" s="2" t="s">
        <v>10</v>
      </c>
      <c r="B602" s="3" t="str">
        <f t="shared" si="16"/>
        <v>Email instauration Abilify Maintena 960 mg_FR-AM2-2400029</v>
      </c>
      <c r="C602" s="3" t="str">
        <f>HYPERLINK("https://otsuka-europe-crm.veevavault.com/ui/#object/sent_email__v/VBLZ025E82HDTH5", "SE-000284470")</f>
        <v>SE-000284470</v>
      </c>
      <c r="D602" s="4" t="s">
        <v>11</v>
      </c>
      <c r="E602" s="5">
        <v>0</v>
      </c>
      <c r="F602" s="5">
        <v>0</v>
      </c>
      <c r="G602" s="5">
        <v>0</v>
      </c>
      <c r="H602" s="4" t="s">
        <v>11</v>
      </c>
      <c r="I602" s="5">
        <v>0</v>
      </c>
      <c r="J602" s="4">
        <v>45937.626099537039</v>
      </c>
    </row>
    <row r="603" spans="1:10" x14ac:dyDescent="0.2">
      <c r="A603" s="2" t="s">
        <v>10</v>
      </c>
      <c r="B603" s="3" t="str">
        <f t="shared" si="16"/>
        <v>Email instauration Abilify Maintena 960 mg_FR-AM2-2400029</v>
      </c>
      <c r="C603" s="3" t="str">
        <f>HYPERLINK("https://otsuka-europe-crm.veevavault.com/ui/#object/sent_email__v/VBLZ025E82HDTJX", "SE-000284471")</f>
        <v>SE-000284471</v>
      </c>
      <c r="D603" s="4">
        <v>45937.849293981482</v>
      </c>
      <c r="E603" s="5">
        <v>1</v>
      </c>
      <c r="F603" s="5">
        <v>3</v>
      </c>
      <c r="G603" s="5">
        <v>0</v>
      </c>
      <c r="H603" s="4" t="s">
        <v>11</v>
      </c>
      <c r="I603" s="5">
        <v>0</v>
      </c>
      <c r="J603" s="4">
        <v>45937.626631944448</v>
      </c>
    </row>
    <row r="604" spans="1:10" x14ac:dyDescent="0.2">
      <c r="A604" s="2" t="s">
        <v>10</v>
      </c>
      <c r="B604" s="3" t="str">
        <f t="shared" si="16"/>
        <v>Email instauration Abilify Maintena 960 mg_FR-AM2-2400029</v>
      </c>
      <c r="C604" s="3" t="str">
        <f>HYPERLINK("https://otsuka-europe-crm.veevavault.com/ui/#object/sent_email__v/VBLZ025E82HDTMP", "SE-000284472")</f>
        <v>SE-000284472</v>
      </c>
      <c r="D604" s="4">
        <v>45937.875138888892</v>
      </c>
      <c r="E604" s="5">
        <v>1</v>
      </c>
      <c r="F604" s="5">
        <v>1</v>
      </c>
      <c r="G604" s="5">
        <v>0</v>
      </c>
      <c r="H604" s="4" t="s">
        <v>11</v>
      </c>
      <c r="I604" s="5">
        <v>0</v>
      </c>
      <c r="J604" s="4">
        <v>45937.635324074072</v>
      </c>
    </row>
    <row r="605" spans="1:10" x14ac:dyDescent="0.2">
      <c r="A605" s="2" t="s">
        <v>10</v>
      </c>
      <c r="B605" s="3" t="str">
        <f t="shared" si="16"/>
        <v>Email instauration Abilify Maintena 960 mg_FR-AM2-2400029</v>
      </c>
      <c r="C605" s="3" t="str">
        <f>HYPERLINK("https://otsuka-europe-crm.veevavault.com/ui/#object/sent_email__v/VBLZ025E82HDTS9", "SE-000284473")</f>
        <v>SE-000284473</v>
      </c>
      <c r="D605" s="4">
        <v>45937.657465277778</v>
      </c>
      <c r="E605" s="5">
        <v>1</v>
      </c>
      <c r="F605" s="5">
        <v>1</v>
      </c>
      <c r="G605" s="5">
        <v>0</v>
      </c>
      <c r="H605" s="4" t="s">
        <v>11</v>
      </c>
      <c r="I605" s="5">
        <v>0</v>
      </c>
      <c r="J605" s="4">
        <v>45937.635474537034</v>
      </c>
    </row>
    <row r="606" spans="1:10" x14ac:dyDescent="0.2">
      <c r="A606" s="2" t="s">
        <v>10</v>
      </c>
      <c r="B606" s="3" t="str">
        <f t="shared" si="16"/>
        <v>Email instauration Abilify Maintena 960 mg_FR-AM2-2400029</v>
      </c>
      <c r="C606" s="3" t="str">
        <f>HYPERLINK("https://otsuka-europe-crm.veevavault.com/ui/#object/sent_email__v/VBLZ025E82HDTV1", "SE-000284474")</f>
        <v>SE-000284474</v>
      </c>
      <c r="D606" s="4">
        <v>45938.737199074072</v>
      </c>
      <c r="E606" s="5">
        <v>1</v>
      </c>
      <c r="F606" s="5">
        <v>2</v>
      </c>
      <c r="G606" s="5">
        <v>0</v>
      </c>
      <c r="H606" s="4" t="s">
        <v>11</v>
      </c>
      <c r="I606" s="5">
        <v>0</v>
      </c>
      <c r="J606" s="4">
        <v>45937.635613425926</v>
      </c>
    </row>
    <row r="607" spans="1:10" x14ac:dyDescent="0.2">
      <c r="A607" s="2" t="s">
        <v>10</v>
      </c>
      <c r="B607" s="3" t="str">
        <f t="shared" si="16"/>
        <v>Email instauration Abilify Maintena 960 mg_FR-AM2-2400029</v>
      </c>
      <c r="C607" s="3" t="str">
        <f>HYPERLINK("https://otsuka-europe-crm.veevavault.com/ui/#object/sent_email__v/VBLZ025E82HDTXT", "SE-000284475")</f>
        <v>SE-000284475</v>
      </c>
      <c r="D607" s="4">
        <v>45937.642743055556</v>
      </c>
      <c r="E607" s="5">
        <v>1</v>
      </c>
      <c r="F607" s="5">
        <v>1</v>
      </c>
      <c r="G607" s="5">
        <v>0</v>
      </c>
      <c r="H607" s="4" t="s">
        <v>11</v>
      </c>
      <c r="I607" s="5">
        <v>0</v>
      </c>
      <c r="J607" s="4">
        <v>45937.635798611111</v>
      </c>
    </row>
    <row r="608" spans="1:10" x14ac:dyDescent="0.2">
      <c r="A608" s="2" t="s">
        <v>10</v>
      </c>
      <c r="B608" s="3" t="str">
        <f t="shared" si="16"/>
        <v>Email instauration Abilify Maintena 960 mg_FR-AM2-2400029</v>
      </c>
      <c r="C608" s="3" t="str">
        <f>HYPERLINK("https://otsuka-europe-crm.veevavault.com/ui/#object/sent_email__v/VBLZ025E82HDRXM", "SE-000284476")</f>
        <v>SE-000284476</v>
      </c>
      <c r="D608" s="4">
        <v>45938.419293981482</v>
      </c>
      <c r="E608" s="5">
        <v>1</v>
      </c>
      <c r="F608" s="5">
        <v>1</v>
      </c>
      <c r="G608" s="5">
        <v>0</v>
      </c>
      <c r="H608" s="4" t="s">
        <v>11</v>
      </c>
      <c r="I608" s="5">
        <v>0</v>
      </c>
      <c r="J608" s="4">
        <v>45937.636030092595</v>
      </c>
    </row>
    <row r="609" spans="1:10" x14ac:dyDescent="0.2">
      <c r="A609" s="2" t="s">
        <v>10</v>
      </c>
      <c r="B609" s="3" t="str">
        <f t="shared" si="16"/>
        <v>Email instauration Abilify Maintena 960 mg_FR-AM2-2400029</v>
      </c>
      <c r="C609" s="3" t="str">
        <f>HYPERLINK("https://otsuka-europe-crm.veevavault.com/ui/#object/sent_email__v/VBLZ025E82HDU3D", "SE-000284477")</f>
        <v>SE-000284477</v>
      </c>
      <c r="D609" s="4">
        <v>45938.391805555555</v>
      </c>
      <c r="E609" s="5">
        <v>1</v>
      </c>
      <c r="F609" s="5">
        <v>2</v>
      </c>
      <c r="G609" s="5">
        <v>0</v>
      </c>
      <c r="H609" s="4" t="s">
        <v>11</v>
      </c>
      <c r="I609" s="5">
        <v>0</v>
      </c>
      <c r="J609" s="4">
        <v>45937.636180555557</v>
      </c>
    </row>
    <row r="610" spans="1:10" x14ac:dyDescent="0.2">
      <c r="A610" s="2" t="s">
        <v>10</v>
      </c>
      <c r="B610" s="3" t="str">
        <f t="shared" si="16"/>
        <v>Email instauration Abilify Maintena 960 mg_FR-AM2-2400029</v>
      </c>
      <c r="C610" s="3" t="str">
        <f>HYPERLINK("https://otsuka-europe-crm.veevavault.com/ui/#object/sent_email__v/VBLZ025E82HDSH2", "SE-000284478")</f>
        <v>SE-000284478</v>
      </c>
      <c r="D610" s="4" t="s">
        <v>11</v>
      </c>
      <c r="E610" s="5">
        <v>0</v>
      </c>
      <c r="F610" s="5">
        <v>0</v>
      </c>
      <c r="G610" s="5">
        <v>0</v>
      </c>
      <c r="H610" s="4" t="s">
        <v>11</v>
      </c>
      <c r="I610" s="5">
        <v>0</v>
      </c>
      <c r="J610" s="4">
        <v>45937.636446759258</v>
      </c>
    </row>
    <row r="611" spans="1:10" x14ac:dyDescent="0.2">
      <c r="A611" s="2" t="s">
        <v>10</v>
      </c>
      <c r="B611" s="3" t="str">
        <f t="shared" si="16"/>
        <v>Email instauration Abilify Maintena 960 mg_FR-AM2-2400029</v>
      </c>
      <c r="C611" s="3" t="str">
        <f>HYPERLINK("https://otsuka-europe-crm.veevavault.com/ui/#object/sent_email__v/VBLZ025E82HDUBP", "SE-000284479")</f>
        <v>SE-000284479</v>
      </c>
      <c r="D611" s="4">
        <v>45937.681134259263</v>
      </c>
      <c r="E611" s="5">
        <v>1</v>
      </c>
      <c r="F611" s="5">
        <v>2</v>
      </c>
      <c r="G611" s="5">
        <v>0</v>
      </c>
      <c r="H611" s="4" t="s">
        <v>11</v>
      </c>
      <c r="I611" s="5">
        <v>0</v>
      </c>
      <c r="J611" s="4">
        <v>45937.63658564815</v>
      </c>
    </row>
    <row r="612" spans="1:10" x14ac:dyDescent="0.2">
      <c r="A612" s="2" t="s">
        <v>10</v>
      </c>
      <c r="B612" s="3" t="str">
        <f t="shared" si="16"/>
        <v>Email instauration Abilify Maintena 960 mg_FR-AM2-2400029</v>
      </c>
      <c r="C612" s="3" t="str">
        <f>HYPERLINK("https://otsuka-europe-crm.veevavault.com/ui/#object/sent_email__v/VBLZ025E82HDUEH", "SE-000284480")</f>
        <v>SE-000284480</v>
      </c>
      <c r="D612" s="4" t="s">
        <v>11</v>
      </c>
      <c r="E612" s="5">
        <v>0</v>
      </c>
      <c r="F612" s="5">
        <v>0</v>
      </c>
      <c r="G612" s="5">
        <v>0</v>
      </c>
      <c r="H612" s="4" t="s">
        <v>11</v>
      </c>
      <c r="I612" s="5">
        <v>0</v>
      </c>
      <c r="J612" s="4">
        <v>45937.636736111112</v>
      </c>
    </row>
    <row r="613" spans="1:10" x14ac:dyDescent="0.2">
      <c r="A613" s="2" t="s">
        <v>10</v>
      </c>
      <c r="B613" s="3" t="str">
        <f t="shared" si="16"/>
        <v>Email instauration Abilify Maintena 960 mg_FR-AM2-2400029</v>
      </c>
      <c r="C613" s="3" t="str">
        <f>HYPERLINK("https://otsuka-europe-crm.veevavault.com/ui/#object/sent_email__v/VBLZ025E82HDUH9", "SE-000284481")</f>
        <v>SE-000284481</v>
      </c>
      <c r="D613" s="4">
        <v>45938.313645833332</v>
      </c>
      <c r="E613" s="5">
        <v>1</v>
      </c>
      <c r="F613" s="5">
        <v>2</v>
      </c>
      <c r="G613" s="5">
        <v>0</v>
      </c>
      <c r="H613" s="4" t="s">
        <v>11</v>
      </c>
      <c r="I613" s="5">
        <v>0</v>
      </c>
      <c r="J613" s="4">
        <v>45937.636874999997</v>
      </c>
    </row>
    <row r="614" spans="1:10" x14ac:dyDescent="0.2">
      <c r="A614" s="2" t="s">
        <v>10</v>
      </c>
      <c r="B614" s="3" t="str">
        <f t="shared" si="16"/>
        <v>Email instauration Abilify Maintena 960 mg_FR-AM2-2400029</v>
      </c>
      <c r="C614" s="3" t="str">
        <f>HYPERLINK("https://otsuka-europe-crm.veevavault.com/ui/#object/sent_email__v/VBLZ025E82HDUK1", "SE-000284482")</f>
        <v>SE-000284482</v>
      </c>
      <c r="D614" s="4" t="s">
        <v>11</v>
      </c>
      <c r="E614" s="5">
        <v>0</v>
      </c>
      <c r="F614" s="5">
        <v>0</v>
      </c>
      <c r="G614" s="5">
        <v>0</v>
      </c>
      <c r="H614" s="4" t="s">
        <v>11</v>
      </c>
      <c r="I614" s="5">
        <v>0</v>
      </c>
      <c r="J614" s="4">
        <v>45937.637013888889</v>
      </c>
    </row>
    <row r="615" spans="1:10" x14ac:dyDescent="0.2">
      <c r="A615" s="2" t="s">
        <v>10</v>
      </c>
      <c r="B615" s="3" t="str">
        <f t="shared" si="16"/>
        <v>Email instauration Abilify Maintena 960 mg_FR-AM2-2400029</v>
      </c>
      <c r="C615" s="3" t="str">
        <f>HYPERLINK("https://otsuka-europe-crm.veevavault.com/ui/#object/sent_email__v/VBLZ025E82HDUPL", "SE-000284483")</f>
        <v>SE-000284483</v>
      </c>
      <c r="D615" s="4">
        <v>45938.34878472222</v>
      </c>
      <c r="E615" s="5">
        <v>1</v>
      </c>
      <c r="F615" s="5">
        <v>1</v>
      </c>
      <c r="G615" s="5">
        <v>0</v>
      </c>
      <c r="H615" s="4" t="s">
        <v>11</v>
      </c>
      <c r="I615" s="5">
        <v>0</v>
      </c>
      <c r="J615" s="4">
        <v>45937.637986111113</v>
      </c>
    </row>
    <row r="616" spans="1:10" x14ac:dyDescent="0.2">
      <c r="A616" s="2" t="s">
        <v>10</v>
      </c>
      <c r="B616" s="3" t="str">
        <f t="shared" si="16"/>
        <v>Email instauration Abilify Maintena 960 mg_FR-AM2-2400029</v>
      </c>
      <c r="C616" s="3" t="str">
        <f>HYPERLINK("https://otsuka-europe-crm.veevavault.com/ui/#object/sent_email__v/VBLZ025E82HDUXX", "SE-000284484")</f>
        <v>SE-000284484</v>
      </c>
      <c r="D616" s="4" t="s">
        <v>11</v>
      </c>
      <c r="E616" s="5">
        <v>0</v>
      </c>
      <c r="F616" s="5">
        <v>0</v>
      </c>
      <c r="G616" s="5">
        <v>0</v>
      </c>
      <c r="H616" s="4" t="s">
        <v>11</v>
      </c>
      <c r="I616" s="5">
        <v>0</v>
      </c>
      <c r="J616" s="4">
        <v>45937.638148148151</v>
      </c>
    </row>
    <row r="617" spans="1:10" x14ac:dyDescent="0.2">
      <c r="A617" s="2" t="s">
        <v>10</v>
      </c>
      <c r="B617" s="3" t="str">
        <f t="shared" si="16"/>
        <v>Email instauration Abilify Maintena 960 mg_FR-AM2-2400029</v>
      </c>
      <c r="C617" s="3" t="str">
        <f>HYPERLINK("https://otsuka-europe-crm.veevavault.com/ui/#object/sent_email__v/VBLZ025E82HDV0P", "SE-000284485")</f>
        <v>SE-000284485</v>
      </c>
      <c r="D617" s="4">
        <v>45993.690451388888</v>
      </c>
      <c r="E617" s="5">
        <v>1</v>
      </c>
      <c r="F617" s="5">
        <v>9</v>
      </c>
      <c r="G617" s="5">
        <v>0</v>
      </c>
      <c r="H617" s="4" t="s">
        <v>11</v>
      </c>
      <c r="I617" s="5">
        <v>0</v>
      </c>
      <c r="J617" s="4">
        <v>45937.639236111114</v>
      </c>
    </row>
    <row r="618" spans="1:10" x14ac:dyDescent="0.2">
      <c r="A618" s="2" t="s">
        <v>10</v>
      </c>
      <c r="B618" s="3" t="str">
        <f t="shared" si="16"/>
        <v>Email instauration Abilify Maintena 960 mg_FR-AM2-2400029</v>
      </c>
      <c r="C618" s="3" t="str">
        <f>HYPERLINK("https://otsuka-europe-crm.veevavault.com/ui/#object/sent_email__v/VBLZ025E82HDV3H", "SE-000284486")</f>
        <v>SE-000284486</v>
      </c>
      <c r="D618" s="4">
        <v>45937.954224537039</v>
      </c>
      <c r="E618" s="5">
        <v>1</v>
      </c>
      <c r="F618" s="5">
        <v>2</v>
      </c>
      <c r="G618" s="5">
        <v>0</v>
      </c>
      <c r="H618" s="4" t="s">
        <v>11</v>
      </c>
      <c r="I618" s="5">
        <v>0</v>
      </c>
      <c r="J618" s="4">
        <v>45937.639374999999</v>
      </c>
    </row>
    <row r="619" spans="1:10" x14ac:dyDescent="0.2">
      <c r="A619" s="2" t="s">
        <v>10</v>
      </c>
      <c r="B619" s="3" t="str">
        <f t="shared" si="16"/>
        <v>Email instauration Abilify Maintena 960 mg_FR-AM2-2400029</v>
      </c>
      <c r="C619" s="3" t="str">
        <f>HYPERLINK("https://otsuka-europe-crm.veevavault.com/ui/#object/sent_email__v/VBLZ025E82HDV69", "SE-000284487")</f>
        <v>SE-000284487</v>
      </c>
      <c r="D619" s="4" t="s">
        <v>11</v>
      </c>
      <c r="E619" s="5">
        <v>0</v>
      </c>
      <c r="F619" s="5">
        <v>0</v>
      </c>
      <c r="G619" s="5">
        <v>0</v>
      </c>
      <c r="H619" s="4" t="s">
        <v>11</v>
      </c>
      <c r="I619" s="5">
        <v>0</v>
      </c>
      <c r="J619" s="4">
        <v>45937.63962962963</v>
      </c>
    </row>
    <row r="620" spans="1:10" x14ac:dyDescent="0.2">
      <c r="A620" s="2" t="s">
        <v>10</v>
      </c>
      <c r="B620" s="3" t="str">
        <f t="shared" si="16"/>
        <v>Email instauration Abilify Maintena 960 mg_FR-AM2-2400029</v>
      </c>
      <c r="C620" s="3" t="str">
        <f>HYPERLINK("https://otsuka-europe-crm.veevavault.com/ui/#object/sent_email__v/VBLZ025E82HDV91", "SE-000284488")</f>
        <v>SE-000284488</v>
      </c>
      <c r="D620" s="4" t="s">
        <v>11</v>
      </c>
      <c r="E620" s="5">
        <v>0</v>
      </c>
      <c r="F620" s="5">
        <v>0</v>
      </c>
      <c r="G620" s="5">
        <v>0</v>
      </c>
      <c r="H620" s="4" t="s">
        <v>11</v>
      </c>
      <c r="I620" s="5">
        <v>0</v>
      </c>
      <c r="J620" s="4">
        <v>45937.639826388891</v>
      </c>
    </row>
    <row r="621" spans="1:10" x14ac:dyDescent="0.2">
      <c r="A621" s="2" t="s">
        <v>10</v>
      </c>
      <c r="B621" s="3" t="str">
        <f t="shared" ref="B621:B684" si="17">HYPERLINK("https://otsuka-europe-crm.veevavault.com/ui/#object/approved_document__v/V5OZ025E82N8159", "Email instauration Abilify Maintena 960 mg_FR-AM2-2400029")</f>
        <v>Email instauration Abilify Maintena 960 mg_FR-AM2-2400029</v>
      </c>
      <c r="C621" s="3" t="str">
        <f>HYPERLINK("https://otsuka-europe-crm.veevavault.com/ui/#object/sent_email__v/VBLZ025E82HDRE6", "SE-000284489")</f>
        <v>SE-000284489</v>
      </c>
      <c r="D621" s="4" t="s">
        <v>11</v>
      </c>
      <c r="E621" s="5">
        <v>0</v>
      </c>
      <c r="F621" s="5">
        <v>0</v>
      </c>
      <c r="G621" s="5">
        <v>0</v>
      </c>
      <c r="H621" s="4" t="s">
        <v>11</v>
      </c>
      <c r="I621" s="5">
        <v>0</v>
      </c>
      <c r="J621" s="4">
        <v>45937.639988425923</v>
      </c>
    </row>
    <row r="622" spans="1:10" x14ac:dyDescent="0.2">
      <c r="A622" s="2" t="s">
        <v>10</v>
      </c>
      <c r="B622" s="3" t="str">
        <f t="shared" si="17"/>
        <v>Email instauration Abilify Maintena 960 mg_FR-AM2-2400029</v>
      </c>
      <c r="C622" s="3" t="str">
        <f>HYPERLINK("https://otsuka-europe-crm.veevavault.com/ui/#object/sent_email__v/VBLZ025E82HDVBT", "SE-000284490")</f>
        <v>SE-000284490</v>
      </c>
      <c r="D622" s="4">
        <v>45939.881689814814</v>
      </c>
      <c r="E622" s="5">
        <v>1</v>
      </c>
      <c r="F622" s="5">
        <v>3</v>
      </c>
      <c r="G622" s="5">
        <v>0</v>
      </c>
      <c r="H622" s="4" t="s">
        <v>11</v>
      </c>
      <c r="I622" s="5">
        <v>0</v>
      </c>
      <c r="J622" s="4">
        <v>45937.640104166669</v>
      </c>
    </row>
    <row r="623" spans="1:10" x14ac:dyDescent="0.2">
      <c r="A623" s="2" t="s">
        <v>10</v>
      </c>
      <c r="B623" s="3" t="str">
        <f t="shared" si="17"/>
        <v>Email instauration Abilify Maintena 960 mg_FR-AM2-2400029</v>
      </c>
      <c r="C623" s="3" t="str">
        <f>HYPERLINK("https://otsuka-europe-crm.veevavault.com/ui/#object/sent_email__v/VBLZ025E82HDVEL", "SE-000284491")</f>
        <v>SE-000284491</v>
      </c>
      <c r="D623" s="4">
        <v>45938.483101851853</v>
      </c>
      <c r="E623" s="5">
        <v>1</v>
      </c>
      <c r="F623" s="5">
        <v>3</v>
      </c>
      <c r="G623" s="5">
        <v>0</v>
      </c>
      <c r="H623" s="4" t="s">
        <v>11</v>
      </c>
      <c r="I623" s="5">
        <v>0</v>
      </c>
      <c r="J623" s="4">
        <v>45937.640243055554</v>
      </c>
    </row>
    <row r="624" spans="1:10" x14ac:dyDescent="0.2">
      <c r="A624" s="2" t="s">
        <v>10</v>
      </c>
      <c r="B624" s="3" t="str">
        <f t="shared" si="17"/>
        <v>Email instauration Abilify Maintena 960 mg_FR-AM2-2400029</v>
      </c>
      <c r="C624" s="3" t="str">
        <f>HYPERLINK("https://otsuka-europe-crm.veevavault.com/ui/#object/sent_email__v/VBLZ025E82HDVK5", "SE-000284492")</f>
        <v>SE-000284492</v>
      </c>
      <c r="D624" s="4">
        <v>45938.800173611111</v>
      </c>
      <c r="E624" s="5">
        <v>1</v>
      </c>
      <c r="F624" s="5">
        <v>2</v>
      </c>
      <c r="G624" s="5">
        <v>0</v>
      </c>
      <c r="H624" s="4" t="s">
        <v>11</v>
      </c>
      <c r="I624" s="5">
        <v>0</v>
      </c>
      <c r="J624" s="4">
        <v>45937.640405092592</v>
      </c>
    </row>
    <row r="625" spans="1:10" x14ac:dyDescent="0.2">
      <c r="A625" s="2" t="s">
        <v>10</v>
      </c>
      <c r="B625" s="3" t="str">
        <f t="shared" si="17"/>
        <v>Email instauration Abilify Maintena 960 mg_FR-AM2-2400029</v>
      </c>
      <c r="C625" s="3" t="str">
        <f>HYPERLINK("https://otsuka-europe-crm.veevavault.com/ui/#object/sent_email__v/VBLZ025E82HDVMX", "SE-000284493")</f>
        <v>SE-000284493</v>
      </c>
      <c r="D625" s="4">
        <v>45938.087326388886</v>
      </c>
      <c r="E625" s="5">
        <v>1</v>
      </c>
      <c r="F625" s="5">
        <v>3</v>
      </c>
      <c r="G625" s="5">
        <v>0</v>
      </c>
      <c r="H625" s="4" t="s">
        <v>11</v>
      </c>
      <c r="I625" s="5">
        <v>0</v>
      </c>
      <c r="J625" s="4">
        <v>45937.640520833331</v>
      </c>
    </row>
    <row r="626" spans="1:10" x14ac:dyDescent="0.2">
      <c r="A626" s="2" t="s">
        <v>10</v>
      </c>
      <c r="B626" s="3" t="str">
        <f t="shared" si="17"/>
        <v>Email instauration Abilify Maintena 960 mg_FR-AM2-2400029</v>
      </c>
      <c r="C626" s="3" t="str">
        <f>HYPERLINK("https://otsuka-europe-crm.veevavault.com/ui/#object/sent_email__v/VBLZ025E82HDVSH", "SE-000284494")</f>
        <v>SE-000284494</v>
      </c>
      <c r="D626" s="4">
        <v>45944.481666666667</v>
      </c>
      <c r="E626" s="5">
        <v>1</v>
      </c>
      <c r="F626" s="5">
        <v>4</v>
      </c>
      <c r="G626" s="5">
        <v>0</v>
      </c>
      <c r="H626" s="4" t="s">
        <v>11</v>
      </c>
      <c r="I626" s="5">
        <v>0</v>
      </c>
      <c r="J626" s="4">
        <v>45937.640833333331</v>
      </c>
    </row>
    <row r="627" spans="1:10" x14ac:dyDescent="0.2">
      <c r="A627" s="2" t="s">
        <v>10</v>
      </c>
      <c r="B627" s="3" t="str">
        <f t="shared" si="17"/>
        <v>Email instauration Abilify Maintena 960 mg_FR-AM2-2400029</v>
      </c>
      <c r="C627" s="3" t="str">
        <f>HYPERLINK("https://otsuka-europe-crm.veevavault.com/ui/#object/sent_email__v/VBLZ025E82HDVY1", "SE-000284495")</f>
        <v>SE-000284495</v>
      </c>
      <c r="D627" s="4" t="s">
        <v>11</v>
      </c>
      <c r="E627" s="5">
        <v>0</v>
      </c>
      <c r="F627" s="5">
        <v>0</v>
      </c>
      <c r="G627" s="5">
        <v>0</v>
      </c>
      <c r="H627" s="4" t="s">
        <v>11</v>
      </c>
      <c r="I627" s="5">
        <v>0</v>
      </c>
      <c r="J627" s="4">
        <v>45937.641770833332</v>
      </c>
    </row>
    <row r="628" spans="1:10" x14ac:dyDescent="0.2">
      <c r="A628" s="2" t="s">
        <v>10</v>
      </c>
      <c r="B628" s="3" t="str">
        <f t="shared" si="17"/>
        <v>Email instauration Abilify Maintena 960 mg_FR-AM2-2400029</v>
      </c>
      <c r="C628" s="3" t="str">
        <f>HYPERLINK("https://otsuka-europe-crm.veevavault.com/ui/#object/sent_email__v/VBLZ025E82HDW3L", "SE-000284496")</f>
        <v>SE-000284496</v>
      </c>
      <c r="D628" s="4">
        <v>45937.652986111112</v>
      </c>
      <c r="E628" s="5">
        <v>1</v>
      </c>
      <c r="F628" s="5">
        <v>1</v>
      </c>
      <c r="G628" s="5">
        <v>0</v>
      </c>
      <c r="H628" s="4" t="s">
        <v>11</v>
      </c>
      <c r="I628" s="5">
        <v>0</v>
      </c>
      <c r="J628" s="4">
        <v>45937.642939814818</v>
      </c>
    </row>
    <row r="629" spans="1:10" x14ac:dyDescent="0.2">
      <c r="A629" s="2" t="s">
        <v>10</v>
      </c>
      <c r="B629" s="3" t="str">
        <f t="shared" si="17"/>
        <v>Email instauration Abilify Maintena 960 mg_FR-AM2-2400029</v>
      </c>
      <c r="C629" s="3" t="str">
        <f>HYPERLINK("https://otsuka-europe-crm.veevavault.com/ui/#object/sent_email__v/VBLZ025E82HDWHH", "SE-000284497")</f>
        <v>SE-000284497</v>
      </c>
      <c r="D629" s="4">
        <v>45938.663703703707</v>
      </c>
      <c r="E629" s="5">
        <v>1</v>
      </c>
      <c r="F629" s="5">
        <v>2</v>
      </c>
      <c r="G629" s="5">
        <v>0</v>
      </c>
      <c r="H629" s="4" t="s">
        <v>11</v>
      </c>
      <c r="I629" s="5">
        <v>0</v>
      </c>
      <c r="J629" s="4">
        <v>45937.647002314814</v>
      </c>
    </row>
    <row r="630" spans="1:10" x14ac:dyDescent="0.2">
      <c r="A630" s="2" t="s">
        <v>10</v>
      </c>
      <c r="B630" s="3" t="str">
        <f t="shared" si="17"/>
        <v>Email instauration Abilify Maintena 960 mg_FR-AM2-2400029</v>
      </c>
      <c r="C630" s="3" t="str">
        <f>HYPERLINK("https://otsuka-europe-crm.veevavault.com/ui/#object/sent_email__v/VBLZ025E82HDWVD", "SE-000284498")</f>
        <v>SE-000284498</v>
      </c>
      <c r="D630" s="4" t="s">
        <v>11</v>
      </c>
      <c r="E630" s="5">
        <v>0</v>
      </c>
      <c r="F630" s="5">
        <v>0</v>
      </c>
      <c r="G630" s="5">
        <v>0</v>
      </c>
      <c r="H630" s="4" t="s">
        <v>11</v>
      </c>
      <c r="I630" s="5">
        <v>0</v>
      </c>
      <c r="J630" s="4">
        <v>45937.648414351854</v>
      </c>
    </row>
    <row r="631" spans="1:10" x14ac:dyDescent="0.2">
      <c r="A631" s="2" t="s">
        <v>10</v>
      </c>
      <c r="B631" s="3" t="str">
        <f t="shared" si="17"/>
        <v>Email instauration Abilify Maintena 960 mg_FR-AM2-2400029</v>
      </c>
      <c r="C631" s="3" t="str">
        <f>HYPERLINK("https://otsuka-europe-crm.veevavault.com/ui/#object/sent_email__v/VBLZ025E82HDWY5", "SE-000284499")</f>
        <v>SE-000284499</v>
      </c>
      <c r="D631" s="4" t="s">
        <v>11</v>
      </c>
      <c r="E631" s="5">
        <v>0</v>
      </c>
      <c r="F631" s="5">
        <v>0</v>
      </c>
      <c r="G631" s="5">
        <v>0</v>
      </c>
      <c r="H631" s="4" t="s">
        <v>11</v>
      </c>
      <c r="I631" s="5">
        <v>0</v>
      </c>
      <c r="J631" s="4">
        <v>45937.649189814816</v>
      </c>
    </row>
    <row r="632" spans="1:10" x14ac:dyDescent="0.2">
      <c r="A632" s="2" t="s">
        <v>10</v>
      </c>
      <c r="B632" s="3" t="str">
        <f t="shared" si="17"/>
        <v>Email instauration Abilify Maintena 960 mg_FR-AM2-2400029</v>
      </c>
      <c r="C632" s="3" t="str">
        <f>HYPERLINK("https://otsuka-europe-crm.veevavault.com/ui/#object/sent_email__v/VBLZ025E82HDX0X", "SE-000284500")</f>
        <v>SE-000284500</v>
      </c>
      <c r="D632" s="4">
        <v>45937.689039351855</v>
      </c>
      <c r="E632" s="5">
        <v>1</v>
      </c>
      <c r="F632" s="5">
        <v>2</v>
      </c>
      <c r="G632" s="5">
        <v>0</v>
      </c>
      <c r="H632" s="4" t="s">
        <v>11</v>
      </c>
      <c r="I632" s="5">
        <v>0</v>
      </c>
      <c r="J632" s="4">
        <v>45937.649375000001</v>
      </c>
    </row>
    <row r="633" spans="1:10" x14ac:dyDescent="0.2">
      <c r="A633" s="2" t="s">
        <v>10</v>
      </c>
      <c r="B633" s="3" t="str">
        <f t="shared" si="17"/>
        <v>Email instauration Abilify Maintena 960 mg_FR-AM2-2400029</v>
      </c>
      <c r="C633" s="3" t="str">
        <f>HYPERLINK("https://otsuka-europe-crm.veevavault.com/ui/#object/sent_email__v/VBLZ025E82HDX3P", "SE-000284501")</f>
        <v>SE-000284501</v>
      </c>
      <c r="D633" s="4" t="s">
        <v>11</v>
      </c>
      <c r="E633" s="5">
        <v>0</v>
      </c>
      <c r="F633" s="5">
        <v>0</v>
      </c>
      <c r="G633" s="5">
        <v>0</v>
      </c>
      <c r="H633" s="4" t="s">
        <v>11</v>
      </c>
      <c r="I633" s="5">
        <v>0</v>
      </c>
      <c r="J633" s="4">
        <v>45937.649710648147</v>
      </c>
    </row>
    <row r="634" spans="1:10" x14ac:dyDescent="0.2">
      <c r="A634" s="2" t="s">
        <v>10</v>
      </c>
      <c r="B634" s="3" t="str">
        <f t="shared" si="17"/>
        <v>Email instauration Abilify Maintena 960 mg_FR-AM2-2400029</v>
      </c>
      <c r="C634" s="3" t="str">
        <f>HYPERLINK("https://otsuka-europe-crm.veevavault.com/ui/#object/sent_email__v/VBLZ025E82HDX6H", "SE-000284502")</f>
        <v>SE-000284502</v>
      </c>
      <c r="D634" s="4" t="s">
        <v>11</v>
      </c>
      <c r="E634" s="5">
        <v>0</v>
      </c>
      <c r="F634" s="5">
        <v>0</v>
      </c>
      <c r="G634" s="5">
        <v>0</v>
      </c>
      <c r="H634" s="4" t="s">
        <v>11</v>
      </c>
      <c r="I634" s="5">
        <v>0</v>
      </c>
      <c r="J634" s="4">
        <v>45937.649861111109</v>
      </c>
    </row>
    <row r="635" spans="1:10" x14ac:dyDescent="0.2">
      <c r="A635" s="2" t="s">
        <v>10</v>
      </c>
      <c r="B635" s="3" t="str">
        <f t="shared" si="17"/>
        <v>Email instauration Abilify Maintena 960 mg_FR-AM2-2400029</v>
      </c>
      <c r="C635" s="3" t="str">
        <f>HYPERLINK("https://otsuka-europe-crm.veevavault.com/ui/#object/sent_email__v/VBLZ025E82HDXC1", "SE-000284503")</f>
        <v>SE-000284503</v>
      </c>
      <c r="D635" s="4" t="s">
        <v>11</v>
      </c>
      <c r="E635" s="5">
        <v>0</v>
      </c>
      <c r="F635" s="5">
        <v>0</v>
      </c>
      <c r="G635" s="5">
        <v>0</v>
      </c>
      <c r="H635" s="4" t="s">
        <v>11</v>
      </c>
      <c r="I635" s="5">
        <v>0</v>
      </c>
      <c r="J635" s="4">
        <v>45937.650555555556</v>
      </c>
    </row>
    <row r="636" spans="1:10" x14ac:dyDescent="0.2">
      <c r="A636" s="2" t="s">
        <v>10</v>
      </c>
      <c r="B636" s="3" t="str">
        <f t="shared" si="17"/>
        <v>Email instauration Abilify Maintena 960 mg_FR-AM2-2400029</v>
      </c>
      <c r="C636" s="3" t="str">
        <f>HYPERLINK("https://otsuka-europe-crm.veevavault.com/ui/#object/sent_email__v/VBLZ025E82HDXET", "SE-000284504")</f>
        <v>SE-000284504</v>
      </c>
      <c r="D636" s="4" t="s">
        <v>11</v>
      </c>
      <c r="E636" s="5">
        <v>0</v>
      </c>
      <c r="F636" s="5">
        <v>0</v>
      </c>
      <c r="G636" s="5">
        <v>0</v>
      </c>
      <c r="H636" s="4" t="s">
        <v>11</v>
      </c>
      <c r="I636" s="5">
        <v>0</v>
      </c>
      <c r="J636" s="4">
        <v>45937.650902777779</v>
      </c>
    </row>
    <row r="637" spans="1:10" x14ac:dyDescent="0.2">
      <c r="A637" s="2" t="s">
        <v>10</v>
      </c>
      <c r="B637" s="3" t="str">
        <f t="shared" si="17"/>
        <v>Email instauration Abilify Maintena 960 mg_FR-AM2-2400029</v>
      </c>
      <c r="C637" s="3" t="str">
        <f>HYPERLINK("https://otsuka-europe-crm.veevavault.com/ui/#object/sent_email__v/VBLZ025E82HDXN5", "SE-000284505")</f>
        <v>SE-000284505</v>
      </c>
      <c r="D637" s="4">
        <v>45938.700497685182</v>
      </c>
      <c r="E637" s="5">
        <v>1</v>
      </c>
      <c r="F637" s="5">
        <v>2</v>
      </c>
      <c r="G637" s="5">
        <v>0</v>
      </c>
      <c r="H637" s="4" t="s">
        <v>11</v>
      </c>
      <c r="I637" s="5">
        <v>0</v>
      </c>
      <c r="J637" s="4">
        <v>45937.651736111111</v>
      </c>
    </row>
    <row r="638" spans="1:10" x14ac:dyDescent="0.2">
      <c r="A638" s="2" t="s">
        <v>10</v>
      </c>
      <c r="B638" s="3" t="str">
        <f t="shared" si="17"/>
        <v>Email instauration Abilify Maintena 960 mg_FR-AM2-2400029</v>
      </c>
      <c r="C638" s="3" t="str">
        <f>HYPERLINK("https://otsuka-europe-crm.veevavault.com/ui/#object/sent_email__v/VBLZ025E82HDXPX", "SE-000284506")</f>
        <v>SE-000284506</v>
      </c>
      <c r="D638" s="4" t="s">
        <v>11</v>
      </c>
      <c r="E638" s="5">
        <v>0</v>
      </c>
      <c r="F638" s="5">
        <v>0</v>
      </c>
      <c r="G638" s="5">
        <v>0</v>
      </c>
      <c r="H638" s="4" t="s">
        <v>11</v>
      </c>
      <c r="I638" s="5">
        <v>0</v>
      </c>
      <c r="J638" s="4">
        <v>45937.651921296296</v>
      </c>
    </row>
    <row r="639" spans="1:10" x14ac:dyDescent="0.2">
      <c r="A639" s="2" t="s">
        <v>10</v>
      </c>
      <c r="B639" s="3" t="str">
        <f t="shared" si="17"/>
        <v>Email instauration Abilify Maintena 960 mg_FR-AM2-2400029</v>
      </c>
      <c r="C639" s="3" t="str">
        <f>HYPERLINK("https://otsuka-europe-crm.veevavault.com/ui/#object/sent_email__v/VBLZ025E82HDXSP", "SE-000284507")</f>
        <v>SE-000284507</v>
      </c>
      <c r="D639" s="4" t="s">
        <v>11</v>
      </c>
      <c r="E639" s="5">
        <v>0</v>
      </c>
      <c r="F639" s="5">
        <v>0</v>
      </c>
      <c r="G639" s="5">
        <v>0</v>
      </c>
      <c r="H639" s="4" t="s">
        <v>11</v>
      </c>
      <c r="I639" s="5">
        <v>0</v>
      </c>
      <c r="J639" s="4">
        <v>45937.652187500003</v>
      </c>
    </row>
    <row r="640" spans="1:10" x14ac:dyDescent="0.2">
      <c r="A640" s="2" t="s">
        <v>10</v>
      </c>
      <c r="B640" s="3" t="str">
        <f t="shared" si="17"/>
        <v>Email instauration Abilify Maintena 960 mg_FR-AM2-2400029</v>
      </c>
      <c r="C640" s="3" t="str">
        <f>HYPERLINK("https://otsuka-europe-crm.veevavault.com/ui/#object/sent_email__v/VBLZ025E82HDXVH", "SE-000284508")</f>
        <v>SE-000284508</v>
      </c>
      <c r="D640" s="4" t="s">
        <v>11</v>
      </c>
      <c r="E640" s="5">
        <v>0</v>
      </c>
      <c r="F640" s="5">
        <v>0</v>
      </c>
      <c r="G640" s="5">
        <v>0</v>
      </c>
      <c r="H640" s="4" t="s">
        <v>11</v>
      </c>
      <c r="I640" s="5">
        <v>0</v>
      </c>
      <c r="J640" s="4">
        <v>45937.652465277781</v>
      </c>
    </row>
    <row r="641" spans="1:10" x14ac:dyDescent="0.2">
      <c r="A641" s="2" t="s">
        <v>10</v>
      </c>
      <c r="B641" s="3" t="str">
        <f t="shared" si="17"/>
        <v>Email instauration Abilify Maintena 960 mg_FR-AM2-2400029</v>
      </c>
      <c r="C641" s="3" t="str">
        <f>HYPERLINK("https://otsuka-europe-crm.veevavault.com/ui/#object/sent_email__v/VBLZ025E82HDXY9", "SE-000284509")</f>
        <v>SE-000284509</v>
      </c>
      <c r="D641" s="4" t="s">
        <v>11</v>
      </c>
      <c r="E641" s="5">
        <v>0</v>
      </c>
      <c r="F641" s="5">
        <v>0</v>
      </c>
      <c r="G641" s="5">
        <v>0</v>
      </c>
      <c r="H641" s="4" t="s">
        <v>11</v>
      </c>
      <c r="I641" s="5">
        <v>0</v>
      </c>
      <c r="J641" s="4">
        <v>45937.653599537036</v>
      </c>
    </row>
    <row r="642" spans="1:10" x14ac:dyDescent="0.2">
      <c r="A642" s="2" t="s">
        <v>10</v>
      </c>
      <c r="B642" s="3" t="str">
        <f t="shared" si="17"/>
        <v>Email instauration Abilify Maintena 960 mg_FR-AM2-2400029</v>
      </c>
      <c r="C642" s="3" t="str">
        <f>HYPERLINK("https://otsuka-europe-crm.veevavault.com/ui/#object/sent_email__v/VBLZ025E82HDY11", "SE-000284510")</f>
        <v>SE-000284510</v>
      </c>
      <c r="D642" s="4">
        <v>45937.703993055555</v>
      </c>
      <c r="E642" s="5">
        <v>1</v>
      </c>
      <c r="F642" s="5">
        <v>1</v>
      </c>
      <c r="G642" s="5">
        <v>0</v>
      </c>
      <c r="H642" s="4" t="s">
        <v>11</v>
      </c>
      <c r="I642" s="5">
        <v>0</v>
      </c>
      <c r="J642" s="4">
        <v>45937.653726851851</v>
      </c>
    </row>
    <row r="643" spans="1:10" x14ac:dyDescent="0.2">
      <c r="A643" s="2" t="s">
        <v>10</v>
      </c>
      <c r="B643" s="3" t="str">
        <f t="shared" si="17"/>
        <v>Email instauration Abilify Maintena 960 mg_FR-AM2-2400029</v>
      </c>
      <c r="C643" s="3" t="str">
        <f>HYPERLINK("https://otsuka-europe-crm.veevavault.com/ui/#object/sent_email__v/VBLZ025E82HDY6L", "SE-000284512")</f>
        <v>SE-000284512</v>
      </c>
      <c r="D643" s="4">
        <v>45937.658368055556</v>
      </c>
      <c r="E643" s="5">
        <v>1</v>
      </c>
      <c r="F643" s="5">
        <v>1</v>
      </c>
      <c r="G643" s="5">
        <v>0</v>
      </c>
      <c r="H643" s="4" t="s">
        <v>11</v>
      </c>
      <c r="I643" s="5">
        <v>0</v>
      </c>
      <c r="J643" s="4">
        <v>45937.654490740744</v>
      </c>
    </row>
    <row r="644" spans="1:10" x14ac:dyDescent="0.2">
      <c r="A644" s="2" t="s">
        <v>10</v>
      </c>
      <c r="B644" s="3" t="str">
        <f t="shared" si="17"/>
        <v>Email instauration Abilify Maintena 960 mg_FR-AM2-2400029</v>
      </c>
      <c r="C644" s="3" t="str">
        <f>HYPERLINK("https://otsuka-europe-crm.veevavault.com/ui/#object/sent_email__v/VBLZ025E82HDY9D", "SE-000284513")</f>
        <v>SE-000284513</v>
      </c>
      <c r="D644" s="4" t="s">
        <v>11</v>
      </c>
      <c r="E644" s="5">
        <v>0</v>
      </c>
      <c r="F644" s="5">
        <v>0</v>
      </c>
      <c r="G644" s="5">
        <v>0</v>
      </c>
      <c r="H644" s="4" t="s">
        <v>11</v>
      </c>
      <c r="I644" s="5">
        <v>0</v>
      </c>
      <c r="J644" s="4">
        <v>45937.654756944445</v>
      </c>
    </row>
    <row r="645" spans="1:10" x14ac:dyDescent="0.2">
      <c r="A645" s="2" t="s">
        <v>10</v>
      </c>
      <c r="B645" s="3" t="str">
        <f t="shared" si="17"/>
        <v>Email instauration Abilify Maintena 960 mg_FR-AM2-2400029</v>
      </c>
      <c r="C645" s="3" t="str">
        <f>HYPERLINK("https://otsuka-europe-crm.veevavault.com/ui/#object/sent_email__v/VBLZ025E82HDYC5", "SE-000284514")</f>
        <v>SE-000284514</v>
      </c>
      <c r="D645" s="4" t="s">
        <v>11</v>
      </c>
      <c r="E645" s="5">
        <v>0</v>
      </c>
      <c r="F645" s="5">
        <v>0</v>
      </c>
      <c r="G645" s="5">
        <v>0</v>
      </c>
      <c r="H645" s="4" t="s">
        <v>11</v>
      </c>
      <c r="I645" s="5">
        <v>0</v>
      </c>
      <c r="J645" s="4">
        <v>45937.654895833337</v>
      </c>
    </row>
    <row r="646" spans="1:10" x14ac:dyDescent="0.2">
      <c r="A646" s="2" t="s">
        <v>10</v>
      </c>
      <c r="B646" s="3" t="str">
        <f t="shared" si="17"/>
        <v>Email instauration Abilify Maintena 960 mg_FR-AM2-2400029</v>
      </c>
      <c r="C646" s="3" t="str">
        <f>HYPERLINK("https://otsuka-europe-crm.veevavault.com/ui/#object/sent_email__v/VBLZ025E82HDYHP", "SE-000284515")</f>
        <v>SE-000284515</v>
      </c>
      <c r="D646" s="4">
        <v>45937.717164351852</v>
      </c>
      <c r="E646" s="5">
        <v>1</v>
      </c>
      <c r="F646" s="5">
        <v>1</v>
      </c>
      <c r="G646" s="5">
        <v>0</v>
      </c>
      <c r="H646" s="4" t="s">
        <v>11</v>
      </c>
      <c r="I646" s="5">
        <v>0</v>
      </c>
      <c r="J646" s="4">
        <v>45937.655023148145</v>
      </c>
    </row>
    <row r="647" spans="1:10" x14ac:dyDescent="0.2">
      <c r="A647" s="2" t="s">
        <v>10</v>
      </c>
      <c r="B647" s="3" t="str">
        <f t="shared" si="17"/>
        <v>Email instauration Abilify Maintena 960 mg_FR-AM2-2400029</v>
      </c>
      <c r="C647" s="3" t="str">
        <f>HYPERLINK("https://otsuka-europe-crm.veevavault.com/ui/#object/sent_email__v/VBLZ025E82HDYKH", "SE-000284516")</f>
        <v>SE-000284516</v>
      </c>
      <c r="D647" s="4" t="s">
        <v>11</v>
      </c>
      <c r="E647" s="5">
        <v>0</v>
      </c>
      <c r="F647" s="5">
        <v>0</v>
      </c>
      <c r="G647" s="5">
        <v>0</v>
      </c>
      <c r="H647" s="4" t="s">
        <v>11</v>
      </c>
      <c r="I647" s="5">
        <v>0</v>
      </c>
      <c r="J647" s="4">
        <v>45937.655335648145</v>
      </c>
    </row>
    <row r="648" spans="1:10" x14ac:dyDescent="0.2">
      <c r="A648" s="2" t="s">
        <v>10</v>
      </c>
      <c r="B648" s="3" t="str">
        <f t="shared" si="17"/>
        <v>Email instauration Abilify Maintena 960 mg_FR-AM2-2400029</v>
      </c>
      <c r="C648" s="3" t="str">
        <f>HYPERLINK("https://otsuka-europe-crm.veevavault.com/ui/#object/sent_email__v/VBLZ025E82HDYN9", "SE-000284517")</f>
        <v>SE-000284517</v>
      </c>
      <c r="D648" s="4" t="s">
        <v>11</v>
      </c>
      <c r="E648" s="5">
        <v>0</v>
      </c>
      <c r="F648" s="5">
        <v>0</v>
      </c>
      <c r="G648" s="5">
        <v>0</v>
      </c>
      <c r="H648" s="4" t="s">
        <v>11</v>
      </c>
      <c r="I648" s="5">
        <v>0</v>
      </c>
      <c r="J648" s="4">
        <v>45937.655543981484</v>
      </c>
    </row>
    <row r="649" spans="1:10" x14ac:dyDescent="0.2">
      <c r="A649" s="2" t="s">
        <v>10</v>
      </c>
      <c r="B649" s="3" t="str">
        <f t="shared" si="17"/>
        <v>Email instauration Abilify Maintena 960 mg_FR-AM2-2400029</v>
      </c>
      <c r="C649" s="3" t="str">
        <f>HYPERLINK("https://otsuka-europe-crm.veevavault.com/ui/#object/sent_email__v/VBLZ025E82HDYVL", "SE-000284518")</f>
        <v>SE-000284518</v>
      </c>
      <c r="D649" s="4">
        <v>45949.439282407409</v>
      </c>
      <c r="E649" s="5">
        <v>1</v>
      </c>
      <c r="F649" s="5">
        <v>2</v>
      </c>
      <c r="G649" s="5">
        <v>0</v>
      </c>
      <c r="H649" s="4" t="s">
        <v>11</v>
      </c>
      <c r="I649" s="5">
        <v>0</v>
      </c>
      <c r="J649" s="4">
        <v>45937.656354166669</v>
      </c>
    </row>
    <row r="650" spans="1:10" x14ac:dyDescent="0.2">
      <c r="A650" s="2" t="s">
        <v>10</v>
      </c>
      <c r="B650" s="3" t="str">
        <f t="shared" si="17"/>
        <v>Email instauration Abilify Maintena 960 mg_FR-AM2-2400029</v>
      </c>
      <c r="C650" s="3" t="str">
        <f>HYPERLINK("https://otsuka-europe-crm.veevavault.com/ui/#object/sent_email__v/VBLZ025E82HDWBY", "SE-000284519")</f>
        <v>SE-000284519</v>
      </c>
      <c r="D650" s="4" t="s">
        <v>11</v>
      </c>
      <c r="E650" s="5">
        <v>0</v>
      </c>
      <c r="F650" s="5">
        <v>0</v>
      </c>
      <c r="G650" s="5">
        <v>0</v>
      </c>
      <c r="H650" s="4" t="s">
        <v>11</v>
      </c>
      <c r="I650" s="5">
        <v>0</v>
      </c>
      <c r="J650" s="4">
        <v>45937.656585648147</v>
      </c>
    </row>
    <row r="651" spans="1:10" x14ac:dyDescent="0.2">
      <c r="A651" s="2" t="s">
        <v>10</v>
      </c>
      <c r="B651" s="3" t="str">
        <f t="shared" si="17"/>
        <v>Email instauration Abilify Maintena 960 mg_FR-AM2-2400029</v>
      </c>
      <c r="C651" s="3" t="str">
        <f>HYPERLINK("https://otsuka-europe-crm.veevavault.com/ui/#object/sent_email__v/VBLZ025E82HDZ15", "SE-000284520")</f>
        <v>SE-000284520</v>
      </c>
      <c r="D651" s="4">
        <v>45964.611898148149</v>
      </c>
      <c r="E651" s="5">
        <v>1</v>
      </c>
      <c r="F651" s="5">
        <v>30</v>
      </c>
      <c r="G651" s="5">
        <v>1</v>
      </c>
      <c r="H651" s="4">
        <v>45938.402499999997</v>
      </c>
      <c r="I651" s="5">
        <v>1</v>
      </c>
      <c r="J651" s="4">
        <v>45937.656921296293</v>
      </c>
    </row>
    <row r="652" spans="1:10" x14ac:dyDescent="0.2">
      <c r="A652" s="2" t="s">
        <v>10</v>
      </c>
      <c r="B652" s="3" t="str">
        <f t="shared" si="17"/>
        <v>Email instauration Abilify Maintena 960 mg_FR-AM2-2400029</v>
      </c>
      <c r="C652" s="3" t="str">
        <f>HYPERLINK("https://otsuka-europe-crm.veevavault.com/ui/#object/sent_email__v/VBLZ025E82HFDF1", "SE-000285024")</f>
        <v>SE-000285024</v>
      </c>
      <c r="D652" s="4" t="s">
        <v>11</v>
      </c>
      <c r="E652" s="5">
        <v>0</v>
      </c>
      <c r="F652" s="5">
        <v>0</v>
      </c>
      <c r="G652" s="5">
        <v>0</v>
      </c>
      <c r="H652" s="4" t="s">
        <v>11</v>
      </c>
      <c r="I652" s="5">
        <v>0</v>
      </c>
      <c r="J652" s="4">
        <v>45938.688587962963</v>
      </c>
    </row>
    <row r="653" spans="1:10" x14ac:dyDescent="0.2">
      <c r="A653" s="2" t="s">
        <v>10</v>
      </c>
      <c r="B653" s="3" t="str">
        <f t="shared" si="17"/>
        <v>Email instauration Abilify Maintena 960 mg_FR-AM2-2400029</v>
      </c>
      <c r="C653" s="3" t="str">
        <f>HYPERLINK("https://otsuka-europe-crm.veevavault.com/ui/#object/sent_email__v/VBLZ025E82HFHTD", "SE-000285030")</f>
        <v>SE-000285030</v>
      </c>
      <c r="D653" s="4" t="s">
        <v>11</v>
      </c>
      <c r="E653" s="5">
        <v>0</v>
      </c>
      <c r="F653" s="5">
        <v>0</v>
      </c>
      <c r="G653" s="5">
        <v>0</v>
      </c>
      <c r="H653" s="4" t="s">
        <v>11</v>
      </c>
      <c r="I653" s="5">
        <v>0</v>
      </c>
      <c r="J653" s="4">
        <v>45938.779062499998</v>
      </c>
    </row>
    <row r="654" spans="1:10" x14ac:dyDescent="0.2">
      <c r="A654" s="2" t="s">
        <v>10</v>
      </c>
      <c r="B654" s="3" t="str">
        <f t="shared" si="17"/>
        <v>Email instauration Abilify Maintena 960 mg_FR-AM2-2400029</v>
      </c>
      <c r="C654" s="3" t="str">
        <f>HYPERLINK("https://otsuka-europe-crm.veevavault.com/ui/#object/sent_email__v/VBLZ025E82HFHW5", "SE-000285031")</f>
        <v>SE-000285031</v>
      </c>
      <c r="D654" s="4" t="s">
        <v>11</v>
      </c>
      <c r="E654" s="5">
        <v>0</v>
      </c>
      <c r="F654" s="5">
        <v>0</v>
      </c>
      <c r="G654" s="5">
        <v>0</v>
      </c>
      <c r="H654" s="4" t="s">
        <v>11</v>
      </c>
      <c r="I654" s="5">
        <v>0</v>
      </c>
      <c r="J654" s="4">
        <v>45938.780057870368</v>
      </c>
    </row>
    <row r="655" spans="1:10" x14ac:dyDescent="0.2">
      <c r="A655" s="2" t="s">
        <v>10</v>
      </c>
      <c r="B655" s="3" t="str">
        <f t="shared" si="17"/>
        <v>Email instauration Abilify Maintena 960 mg_FR-AM2-2400029</v>
      </c>
      <c r="C655" s="3" t="str">
        <f>HYPERLINK("https://otsuka-europe-crm.veevavault.com/ui/#object/sent_email__v/VBLZ025E82HFIL5", "SE-000285036")</f>
        <v>SE-000285036</v>
      </c>
      <c r="D655" s="4">
        <v>45938.825069444443</v>
      </c>
      <c r="E655" s="5">
        <v>1</v>
      </c>
      <c r="F655" s="5">
        <v>2</v>
      </c>
      <c r="G655" s="5">
        <v>0</v>
      </c>
      <c r="H655" s="4" t="s">
        <v>11</v>
      </c>
      <c r="I655" s="5">
        <v>0</v>
      </c>
      <c r="J655" s="4">
        <v>45938.821331018517</v>
      </c>
    </row>
    <row r="656" spans="1:10" x14ac:dyDescent="0.2">
      <c r="A656" s="2" t="s">
        <v>10</v>
      </c>
      <c r="B656" s="3" t="str">
        <f t="shared" si="17"/>
        <v>Email instauration Abilify Maintena 960 mg_FR-AM2-2400029</v>
      </c>
      <c r="C656" s="3" t="str">
        <f>HYPERLINK("https://otsuka-europe-crm.veevavault.com/ui/#object/sent_email__v/VBLZ025E82HFYY1", "SE-000285206")</f>
        <v>SE-000285206</v>
      </c>
      <c r="D656" s="4" t="s">
        <v>11</v>
      </c>
      <c r="E656" s="5">
        <v>0</v>
      </c>
      <c r="F656" s="5">
        <v>0</v>
      </c>
      <c r="G656" s="5">
        <v>0</v>
      </c>
      <c r="H656" s="4" t="s">
        <v>11</v>
      </c>
      <c r="I656" s="5">
        <v>0</v>
      </c>
      <c r="J656" s="4">
        <v>45939.452175925922</v>
      </c>
    </row>
    <row r="657" spans="1:10" x14ac:dyDescent="0.2">
      <c r="A657" s="2" t="s">
        <v>10</v>
      </c>
      <c r="B657" s="3" t="str">
        <f t="shared" si="17"/>
        <v>Email instauration Abilify Maintena 960 mg_FR-AM2-2400029</v>
      </c>
      <c r="C657" s="3" t="str">
        <f>HYPERLINK("https://otsuka-europe-crm.veevavault.com/ui/#object/sent_email__v/VBLZ025E82HFZ95", "SE-000285209")</f>
        <v>SE-000285209</v>
      </c>
      <c r="D657" s="4" t="s">
        <v>11</v>
      </c>
      <c r="E657" s="5">
        <v>0</v>
      </c>
      <c r="F657" s="5">
        <v>0</v>
      </c>
      <c r="G657" s="5">
        <v>0</v>
      </c>
      <c r="H657" s="4" t="s">
        <v>11</v>
      </c>
      <c r="I657" s="5">
        <v>0</v>
      </c>
      <c r="J657" s="4">
        <v>45939.452534722222</v>
      </c>
    </row>
    <row r="658" spans="1:10" x14ac:dyDescent="0.2">
      <c r="A658" s="2" t="s">
        <v>10</v>
      </c>
      <c r="B658" s="3" t="str">
        <f t="shared" si="17"/>
        <v>Email instauration Abilify Maintena 960 mg_FR-AM2-2400029</v>
      </c>
      <c r="C658" s="3" t="str">
        <f>HYPERLINK("https://otsuka-europe-crm.veevavault.com/ui/#object/sent_email__v/VBLZ025E82HG5W1", "SE-000285370")</f>
        <v>SE-000285370</v>
      </c>
      <c r="D658" s="4" t="s">
        <v>11</v>
      </c>
      <c r="E658" s="5">
        <v>0</v>
      </c>
      <c r="F658" s="5">
        <v>0</v>
      </c>
      <c r="G658" s="5">
        <v>0</v>
      </c>
      <c r="H658" s="4" t="s">
        <v>11</v>
      </c>
      <c r="I658" s="5">
        <v>0</v>
      </c>
      <c r="J658" s="4">
        <v>45939.479895833334</v>
      </c>
    </row>
    <row r="659" spans="1:10" x14ac:dyDescent="0.2">
      <c r="A659" s="2" t="s">
        <v>10</v>
      </c>
      <c r="B659" s="3" t="str">
        <f t="shared" si="17"/>
        <v>Email instauration Abilify Maintena 960 mg_FR-AM2-2400029</v>
      </c>
      <c r="C659" s="3" t="str">
        <f>HYPERLINK("https://otsuka-europe-crm.veevavault.com/ui/#object/sent_email__v/VBLZ025E82HGCIX", "SE-000285400")</f>
        <v>SE-000285400</v>
      </c>
      <c r="D659" s="4">
        <v>45939.773587962962</v>
      </c>
      <c r="E659" s="5">
        <v>1</v>
      </c>
      <c r="F659" s="5">
        <v>1</v>
      </c>
      <c r="G659" s="5">
        <v>0</v>
      </c>
      <c r="H659" s="4" t="s">
        <v>11</v>
      </c>
      <c r="I659" s="5">
        <v>0</v>
      </c>
      <c r="J659" s="4">
        <v>45939.539340277777</v>
      </c>
    </row>
    <row r="660" spans="1:10" x14ac:dyDescent="0.2">
      <c r="A660" s="2" t="s">
        <v>10</v>
      </c>
      <c r="B660" s="3" t="str">
        <f t="shared" si="17"/>
        <v>Email instauration Abilify Maintena 960 mg_FR-AM2-2400029</v>
      </c>
      <c r="C660" s="3" t="str">
        <f>HYPERLINK("https://otsuka-europe-crm.veevavault.com/ui/#object/sent_email__v/VBLZ025E82HGCOH", "SE-000285401")</f>
        <v>SE-000285401</v>
      </c>
      <c r="D660" s="4">
        <v>45939.797546296293</v>
      </c>
      <c r="E660" s="5">
        <v>1</v>
      </c>
      <c r="F660" s="5">
        <v>1</v>
      </c>
      <c r="G660" s="5">
        <v>0</v>
      </c>
      <c r="H660" s="4" t="s">
        <v>11</v>
      </c>
      <c r="I660" s="5">
        <v>0</v>
      </c>
      <c r="J660" s="4">
        <v>45939.540752314817</v>
      </c>
    </row>
    <row r="661" spans="1:10" x14ac:dyDescent="0.2">
      <c r="A661" s="2" t="s">
        <v>10</v>
      </c>
      <c r="B661" s="3" t="str">
        <f t="shared" si="17"/>
        <v>Email instauration Abilify Maintena 960 mg_FR-AM2-2400029</v>
      </c>
      <c r="C661" s="3" t="str">
        <f>HYPERLINK("https://otsuka-europe-crm.veevavault.com/ui/#object/sent_email__v/VBLZ025E82HGGOX", "SE-000285408")</f>
        <v>SE-000285408</v>
      </c>
      <c r="D661" s="4" t="s">
        <v>11</v>
      </c>
      <c r="E661" s="5">
        <v>0</v>
      </c>
      <c r="F661" s="5">
        <v>0</v>
      </c>
      <c r="G661" s="5">
        <v>0</v>
      </c>
      <c r="H661" s="4" t="s">
        <v>11</v>
      </c>
      <c r="I661" s="5">
        <v>0</v>
      </c>
      <c r="J661" s="4">
        <v>45939.595868055556</v>
      </c>
    </row>
    <row r="662" spans="1:10" x14ac:dyDescent="0.2">
      <c r="A662" s="2" t="s">
        <v>10</v>
      </c>
      <c r="B662" s="3" t="str">
        <f t="shared" si="17"/>
        <v>Email instauration Abilify Maintena 960 mg_FR-AM2-2400029</v>
      </c>
      <c r="C662" s="3" t="str">
        <f>HYPERLINK("https://otsuka-europe-crm.veevavault.com/ui/#object/sent_email__v/VBLZ025E82HGU9T", "SE-000286101")</f>
        <v>SE-000286101</v>
      </c>
      <c r="D662" s="4">
        <v>45940.34920138889</v>
      </c>
      <c r="E662" s="5">
        <v>1</v>
      </c>
      <c r="F662" s="5">
        <v>2</v>
      </c>
      <c r="G662" s="5">
        <v>0</v>
      </c>
      <c r="H662" s="4" t="s">
        <v>11</v>
      </c>
      <c r="I662" s="5">
        <v>0</v>
      </c>
      <c r="J662" s="4">
        <v>45939.724849537037</v>
      </c>
    </row>
    <row r="663" spans="1:10" x14ac:dyDescent="0.2">
      <c r="A663" s="2" t="s">
        <v>10</v>
      </c>
      <c r="B663" s="3" t="str">
        <f t="shared" si="17"/>
        <v>Email instauration Abilify Maintena 960 mg_FR-AM2-2400029</v>
      </c>
      <c r="C663" s="3" t="str">
        <f>HYPERLINK("https://otsuka-europe-crm.veevavault.com/ui/#object/sent_email__v/VBLZ025E82HGUKX", "SE-000286102")</f>
        <v>SE-000286102</v>
      </c>
      <c r="D663" s="4">
        <v>45946.701354166667</v>
      </c>
      <c r="E663" s="5">
        <v>1</v>
      </c>
      <c r="F663" s="5">
        <v>1</v>
      </c>
      <c r="G663" s="5">
        <v>0</v>
      </c>
      <c r="H663" s="4" t="s">
        <v>11</v>
      </c>
      <c r="I663" s="5">
        <v>0</v>
      </c>
      <c r="J663" s="4">
        <v>45939.740208333336</v>
      </c>
    </row>
    <row r="664" spans="1:10" x14ac:dyDescent="0.2">
      <c r="A664" s="2" t="s">
        <v>10</v>
      </c>
      <c r="B664" s="3" t="str">
        <f t="shared" si="17"/>
        <v>Email instauration Abilify Maintena 960 mg_FR-AM2-2400029</v>
      </c>
      <c r="C664" s="3" t="str">
        <f>HYPERLINK("https://otsuka-europe-crm.veevavault.com/ui/#object/sent_email__v/VBLZ025E82HHDEP", "SE-000286448")</f>
        <v>SE-000286448</v>
      </c>
      <c r="D664" s="4" t="s">
        <v>11</v>
      </c>
      <c r="E664" s="5">
        <v>0</v>
      </c>
      <c r="F664" s="5">
        <v>0</v>
      </c>
      <c r="G664" s="5">
        <v>0</v>
      </c>
      <c r="H664" s="4" t="s">
        <v>11</v>
      </c>
      <c r="I664" s="5">
        <v>0</v>
      </c>
      <c r="J664" s="4">
        <v>45940.458831018521</v>
      </c>
    </row>
    <row r="665" spans="1:10" x14ac:dyDescent="0.2">
      <c r="A665" s="2" t="s">
        <v>10</v>
      </c>
      <c r="B665" s="3" t="str">
        <f t="shared" si="17"/>
        <v>Email instauration Abilify Maintena 960 mg_FR-AM2-2400029</v>
      </c>
      <c r="C665" s="3" t="str">
        <f>HYPERLINK("https://otsuka-europe-crm.veevavault.com/ui/#object/sent_email__v/VBLZ025E82HHE0X", "SE-000286450")</f>
        <v>SE-000286450</v>
      </c>
      <c r="D665" s="4">
        <v>45943.707048611112</v>
      </c>
      <c r="E665" s="5">
        <v>1</v>
      </c>
      <c r="F665" s="5">
        <v>4</v>
      </c>
      <c r="G665" s="5">
        <v>1</v>
      </c>
      <c r="H665" s="4">
        <v>45940.528043981481</v>
      </c>
      <c r="I665" s="5">
        <v>1</v>
      </c>
      <c r="J665" s="4">
        <v>45940.465879629628</v>
      </c>
    </row>
    <row r="666" spans="1:10" x14ac:dyDescent="0.2">
      <c r="A666" s="2" t="s">
        <v>10</v>
      </c>
      <c r="B666" s="3" t="str">
        <f t="shared" si="17"/>
        <v>Email instauration Abilify Maintena 960 mg_FR-AM2-2400029</v>
      </c>
      <c r="C666" s="3" t="str">
        <f>HYPERLINK("https://otsuka-europe-crm.veevavault.com/ui/#object/sent_email__v/VBLZ025E82HHHHY", "SE-000286517")</f>
        <v>SE-000286517</v>
      </c>
      <c r="D666" s="4" t="s">
        <v>11</v>
      </c>
      <c r="E666" s="5">
        <v>0</v>
      </c>
      <c r="F666" s="5">
        <v>0</v>
      </c>
      <c r="G666" s="5">
        <v>0</v>
      </c>
      <c r="H666" s="4" t="s">
        <v>11</v>
      </c>
      <c r="I666" s="5">
        <v>0</v>
      </c>
      <c r="J666" s="4">
        <v>45940.499398148146</v>
      </c>
    </row>
    <row r="667" spans="1:10" x14ac:dyDescent="0.2">
      <c r="A667" s="2" t="s">
        <v>10</v>
      </c>
      <c r="B667" s="3" t="str">
        <f t="shared" si="17"/>
        <v>Email instauration Abilify Maintena 960 mg_FR-AM2-2400029</v>
      </c>
      <c r="C667" s="3" t="str">
        <f>HYPERLINK("https://otsuka-europe-crm.veevavault.com/ui/#object/sent_email__v/VBLZ025E82HHN4P", "SE-000286524")</f>
        <v>SE-000286524</v>
      </c>
      <c r="D667" s="4">
        <v>45940.580937500003</v>
      </c>
      <c r="E667" s="5">
        <v>1</v>
      </c>
      <c r="F667" s="5">
        <v>1</v>
      </c>
      <c r="G667" s="5">
        <v>0</v>
      </c>
      <c r="H667" s="4" t="s">
        <v>11</v>
      </c>
      <c r="I667" s="5">
        <v>0</v>
      </c>
      <c r="J667" s="4">
        <v>45940.579745370371</v>
      </c>
    </row>
    <row r="668" spans="1:10" x14ac:dyDescent="0.2">
      <c r="A668" s="2" t="s">
        <v>10</v>
      </c>
      <c r="B668" s="3" t="str">
        <f t="shared" si="17"/>
        <v>Email instauration Abilify Maintena 960 mg_FR-AM2-2400029</v>
      </c>
      <c r="C668" s="3" t="str">
        <f>HYPERLINK("https://otsuka-europe-crm.veevavault.com/ui/#object/sent_email__v/VBLZ025E82HIG7X", "SE-000286781")</f>
        <v>SE-000286781</v>
      </c>
      <c r="D668" s="4">
        <v>45944.421817129631</v>
      </c>
      <c r="E668" s="5">
        <v>1</v>
      </c>
      <c r="F668" s="5">
        <v>3</v>
      </c>
      <c r="G668" s="5">
        <v>0</v>
      </c>
      <c r="H668" s="4" t="s">
        <v>11</v>
      </c>
      <c r="I668" s="5">
        <v>0</v>
      </c>
      <c r="J668" s="4">
        <v>45943.397106481483</v>
      </c>
    </row>
    <row r="669" spans="1:10" x14ac:dyDescent="0.2">
      <c r="A669" s="2" t="s">
        <v>10</v>
      </c>
      <c r="B669" s="3" t="str">
        <f t="shared" si="17"/>
        <v>Email instauration Abilify Maintena 960 mg_FR-AM2-2400029</v>
      </c>
      <c r="C669" s="3" t="str">
        <f>HYPERLINK("https://otsuka-europe-crm.veevavault.com/ui/#object/sent_email__v/VBLZ025E82HIGDH", "SE-000286782")</f>
        <v>SE-000286782</v>
      </c>
      <c r="D669" s="4">
        <v>45943.457939814813</v>
      </c>
      <c r="E669" s="5">
        <v>1</v>
      </c>
      <c r="F669" s="5">
        <v>1</v>
      </c>
      <c r="G669" s="5">
        <v>0</v>
      </c>
      <c r="H669" s="4" t="s">
        <v>11</v>
      </c>
      <c r="I669" s="5">
        <v>0</v>
      </c>
      <c r="J669" s="4">
        <v>45943.398854166669</v>
      </c>
    </row>
    <row r="670" spans="1:10" x14ac:dyDescent="0.2">
      <c r="A670" s="2" t="s">
        <v>10</v>
      </c>
      <c r="B670" s="3" t="str">
        <f t="shared" si="17"/>
        <v>Email instauration Abilify Maintena 960 mg_FR-AM2-2400029</v>
      </c>
      <c r="C670" s="3" t="str">
        <f>HYPERLINK("https://otsuka-europe-crm.veevavault.com/ui/#object/sent_email__v/VBLZ025E82HIHX1", "SE-000286784")</f>
        <v>SE-000286784</v>
      </c>
      <c r="D670" s="4">
        <v>45944.910671296297</v>
      </c>
      <c r="E670" s="5">
        <v>1</v>
      </c>
      <c r="F670" s="5">
        <v>1</v>
      </c>
      <c r="G670" s="5">
        <v>0</v>
      </c>
      <c r="H670" s="4" t="s">
        <v>11</v>
      </c>
      <c r="I670" s="5">
        <v>0</v>
      </c>
      <c r="J670" s="4">
        <v>45943.407268518517</v>
      </c>
    </row>
    <row r="671" spans="1:10" x14ac:dyDescent="0.2">
      <c r="A671" s="2" t="s">
        <v>10</v>
      </c>
      <c r="B671" s="3" t="str">
        <f t="shared" si="17"/>
        <v>Email instauration Abilify Maintena 960 mg_FR-AM2-2400029</v>
      </c>
      <c r="C671" s="3" t="str">
        <f>HYPERLINK("https://otsuka-europe-crm.veevavault.com/ui/#object/sent_email__v/VBLZ025E82HIOS9", "SE-000286791")</f>
        <v>SE-000286791</v>
      </c>
      <c r="D671" s="4" t="s">
        <v>11</v>
      </c>
      <c r="E671" s="5">
        <v>0</v>
      </c>
      <c r="F671" s="5">
        <v>0</v>
      </c>
      <c r="G671" s="5">
        <v>0</v>
      </c>
      <c r="H671" s="4" t="s">
        <v>11</v>
      </c>
      <c r="I671" s="5">
        <v>0</v>
      </c>
      <c r="J671" s="4">
        <v>45944.377210648148</v>
      </c>
    </row>
    <row r="672" spans="1:10" x14ac:dyDescent="0.2">
      <c r="A672" s="2" t="s">
        <v>10</v>
      </c>
      <c r="B672" s="3" t="str">
        <f t="shared" si="17"/>
        <v>Email instauration Abilify Maintena 960 mg_FR-AM2-2400029</v>
      </c>
      <c r="C672" s="3" t="str">
        <f>HYPERLINK("https://otsuka-europe-crm.veevavault.com/ui/#object/sent_email__v/VBLZ025E82HIRBX", "SE-000286796")</f>
        <v>SE-000286796</v>
      </c>
      <c r="D672" s="4" t="s">
        <v>11</v>
      </c>
      <c r="E672" s="5">
        <v>0</v>
      </c>
      <c r="F672" s="5">
        <v>0</v>
      </c>
      <c r="G672" s="5">
        <v>0</v>
      </c>
      <c r="H672" s="4" t="s">
        <v>11</v>
      </c>
      <c r="I672" s="5">
        <v>0</v>
      </c>
      <c r="J672" s="4">
        <v>45943.483506944445</v>
      </c>
    </row>
    <row r="673" spans="1:10" x14ac:dyDescent="0.2">
      <c r="A673" s="2" t="s">
        <v>10</v>
      </c>
      <c r="B673" s="3" t="str">
        <f t="shared" si="17"/>
        <v>Email instauration Abilify Maintena 960 mg_FR-AM2-2400029</v>
      </c>
      <c r="C673" s="3" t="str">
        <f>HYPERLINK("https://otsuka-europe-crm.veevavault.com/ui/#object/sent_email__v/VBLZ025E82HIZCT", "SE-000286808")</f>
        <v>SE-000286808</v>
      </c>
      <c r="D673" s="4" t="s">
        <v>11</v>
      </c>
      <c r="E673" s="5">
        <v>0</v>
      </c>
      <c r="F673" s="5">
        <v>0</v>
      </c>
      <c r="G673" s="5">
        <v>0</v>
      </c>
      <c r="H673" s="4" t="s">
        <v>11</v>
      </c>
      <c r="I673" s="5">
        <v>0</v>
      </c>
      <c r="J673" s="4">
        <v>45944.377210648148</v>
      </c>
    </row>
    <row r="674" spans="1:10" x14ac:dyDescent="0.2">
      <c r="A674" s="2" t="s">
        <v>10</v>
      </c>
      <c r="B674" s="3" t="str">
        <f t="shared" si="17"/>
        <v>Email instauration Abilify Maintena 960 mg_FR-AM2-2400029</v>
      </c>
      <c r="C674" s="3" t="str">
        <f>HYPERLINK("https://otsuka-europe-crm.veevavault.com/ui/#object/sent_email__v/VBLZ025E82HJ72L", "SE-000286819")</f>
        <v>SE-000286819</v>
      </c>
      <c r="D674" s="4" t="s">
        <v>11</v>
      </c>
      <c r="E674" s="5">
        <v>0</v>
      </c>
      <c r="F674" s="5">
        <v>0</v>
      </c>
      <c r="G674" s="5">
        <v>0</v>
      </c>
      <c r="H674" s="4" t="s">
        <v>11</v>
      </c>
      <c r="I674" s="5">
        <v>0</v>
      </c>
      <c r="J674" s="4">
        <v>45943.677407407406</v>
      </c>
    </row>
    <row r="675" spans="1:10" x14ac:dyDescent="0.2">
      <c r="A675" s="2" t="s">
        <v>10</v>
      </c>
      <c r="B675" s="3" t="str">
        <f t="shared" si="17"/>
        <v>Email instauration Abilify Maintena 960 mg_FR-AM2-2400029</v>
      </c>
      <c r="C675" s="3" t="str">
        <f>HYPERLINK("https://otsuka-europe-crm.veevavault.com/ui/#object/sent_email__v/VBLZ025E82HK7C5", "SE-000287168")</f>
        <v>SE-000287168</v>
      </c>
      <c r="D675" s="4" t="s">
        <v>11</v>
      </c>
      <c r="E675" s="5">
        <v>0</v>
      </c>
      <c r="F675" s="5">
        <v>0</v>
      </c>
      <c r="G675" s="5">
        <v>0</v>
      </c>
      <c r="H675" s="4" t="s">
        <v>11</v>
      </c>
      <c r="I675" s="5">
        <v>0</v>
      </c>
      <c r="J675" s="4">
        <v>45944.537349537037</v>
      </c>
    </row>
    <row r="676" spans="1:10" x14ac:dyDescent="0.2">
      <c r="A676" s="2" t="s">
        <v>10</v>
      </c>
      <c r="B676" s="3" t="str">
        <f t="shared" si="17"/>
        <v>Email instauration Abilify Maintena 960 mg_FR-AM2-2400029</v>
      </c>
      <c r="C676" s="3" t="str">
        <f>HYPERLINK("https://otsuka-europe-crm.veevavault.com/ui/#object/sent_email__v/VBLZ025E82HK7EX", "SE-000287169")</f>
        <v>SE-000287169</v>
      </c>
      <c r="D676" s="4" t="s">
        <v>11</v>
      </c>
      <c r="E676" s="5">
        <v>0</v>
      </c>
      <c r="F676" s="5">
        <v>0</v>
      </c>
      <c r="G676" s="5">
        <v>0</v>
      </c>
      <c r="H676" s="4" t="s">
        <v>11</v>
      </c>
      <c r="I676" s="5">
        <v>0</v>
      </c>
      <c r="J676" s="4">
        <v>45944.537974537037</v>
      </c>
    </row>
    <row r="677" spans="1:10" x14ac:dyDescent="0.2">
      <c r="A677" s="2" t="s">
        <v>10</v>
      </c>
      <c r="B677" s="3" t="str">
        <f t="shared" si="17"/>
        <v>Email instauration Abilify Maintena 960 mg_FR-AM2-2400029</v>
      </c>
      <c r="C677" s="3" t="str">
        <f>HYPERLINK("https://otsuka-europe-crm.veevavault.com/ui/#object/sent_email__v/VBLZ025E82HKKX1", "SE-000287545")</f>
        <v>SE-000287545</v>
      </c>
      <c r="D677" s="4" t="s">
        <v>11</v>
      </c>
      <c r="E677" s="5">
        <v>0</v>
      </c>
      <c r="F677" s="5">
        <v>0</v>
      </c>
      <c r="G677" s="5">
        <v>0</v>
      </c>
      <c r="H677" s="4" t="s">
        <v>11</v>
      </c>
      <c r="I677" s="5">
        <v>0</v>
      </c>
      <c r="J677" s="4">
        <v>45944.693333333336</v>
      </c>
    </row>
    <row r="678" spans="1:10" x14ac:dyDescent="0.2">
      <c r="A678" s="2" t="s">
        <v>10</v>
      </c>
      <c r="B678" s="3" t="str">
        <f t="shared" si="17"/>
        <v>Email instauration Abilify Maintena 960 mg_FR-AM2-2400029</v>
      </c>
      <c r="C678" s="3" t="str">
        <f>HYPERLINK("https://otsuka-europe-crm.veevavault.com/ui/#object/sent_email__v/VBLZ025E82HKL2L", "SE-000287546")</f>
        <v>SE-000287546</v>
      </c>
      <c r="D678" s="4" t="s">
        <v>11</v>
      </c>
      <c r="E678" s="5">
        <v>0</v>
      </c>
      <c r="F678" s="5">
        <v>0</v>
      </c>
      <c r="G678" s="5">
        <v>0</v>
      </c>
      <c r="H678" s="4" t="s">
        <v>11</v>
      </c>
      <c r="I678" s="5">
        <v>0</v>
      </c>
      <c r="J678" s="4">
        <v>45944.694513888891</v>
      </c>
    </row>
    <row r="679" spans="1:10" x14ac:dyDescent="0.2">
      <c r="A679" s="2" t="s">
        <v>10</v>
      </c>
      <c r="B679" s="3" t="str">
        <f t="shared" si="17"/>
        <v>Email instauration Abilify Maintena 960 mg_FR-AM2-2400029</v>
      </c>
      <c r="C679" s="3" t="str">
        <f>HYPERLINK("https://otsuka-europe-crm.veevavault.com/ui/#object/sent_email__v/VBLZ025E82HKL5D", "SE-000287547")</f>
        <v>SE-000287547</v>
      </c>
      <c r="D679" s="4" t="s">
        <v>11</v>
      </c>
      <c r="E679" s="5">
        <v>0</v>
      </c>
      <c r="F679" s="5">
        <v>0</v>
      </c>
      <c r="G679" s="5">
        <v>0</v>
      </c>
      <c r="H679" s="4" t="s">
        <v>11</v>
      </c>
      <c r="I679" s="5">
        <v>0</v>
      </c>
      <c r="J679" s="4">
        <v>45944.694976851853</v>
      </c>
    </row>
    <row r="680" spans="1:10" x14ac:dyDescent="0.2">
      <c r="A680" s="2" t="s">
        <v>10</v>
      </c>
      <c r="B680" s="3" t="str">
        <f t="shared" si="17"/>
        <v>Email instauration Abilify Maintena 960 mg_FR-AM2-2400029</v>
      </c>
      <c r="C680" s="3" t="str">
        <f>HYPERLINK("https://otsuka-europe-crm.veevavault.com/ui/#object/sent_email__v/VBLZ025E82HLG39", "SE-000287818")</f>
        <v>SE-000287818</v>
      </c>
      <c r="D680" s="4" t="s">
        <v>11</v>
      </c>
      <c r="E680" s="5">
        <v>0</v>
      </c>
      <c r="F680" s="5">
        <v>0</v>
      </c>
      <c r="G680" s="5">
        <v>0</v>
      </c>
      <c r="H680" s="4" t="s">
        <v>11</v>
      </c>
      <c r="I680" s="5">
        <v>0</v>
      </c>
      <c r="J680" s="4">
        <v>45945.608796296299</v>
      </c>
    </row>
    <row r="681" spans="1:10" x14ac:dyDescent="0.2">
      <c r="A681" s="2" t="s">
        <v>10</v>
      </c>
      <c r="B681" s="3" t="str">
        <f t="shared" si="17"/>
        <v>Email instauration Abilify Maintena 960 mg_FR-AM2-2400029</v>
      </c>
      <c r="C681" s="3" t="str">
        <f>HYPERLINK("https://otsuka-europe-crm.veevavault.com/ui/#object/sent_email__v/VBLZ025E82HLGBL", "SE-000287819")</f>
        <v>SE-000287819</v>
      </c>
      <c r="D681" s="4" t="s">
        <v>11</v>
      </c>
      <c r="E681" s="5">
        <v>0</v>
      </c>
      <c r="F681" s="5">
        <v>0</v>
      </c>
      <c r="G681" s="5">
        <v>0</v>
      </c>
      <c r="H681" s="4" t="s">
        <v>11</v>
      </c>
      <c r="I681" s="5">
        <v>0</v>
      </c>
      <c r="J681" s="4">
        <v>45945.609629629631</v>
      </c>
    </row>
    <row r="682" spans="1:10" x14ac:dyDescent="0.2">
      <c r="A682" s="2" t="s">
        <v>10</v>
      </c>
      <c r="B682" s="3" t="str">
        <f t="shared" si="17"/>
        <v>Email instauration Abilify Maintena 960 mg_FR-AM2-2400029</v>
      </c>
      <c r="C682" s="3" t="str">
        <f>HYPERLINK("https://otsuka-europe-crm.veevavault.com/ui/#object/sent_email__v/VBLZ025E82HLGH5", "SE-000287820")</f>
        <v>SE-000287820</v>
      </c>
      <c r="D682" s="4" t="s">
        <v>11</v>
      </c>
      <c r="E682" s="5">
        <v>0</v>
      </c>
      <c r="F682" s="5">
        <v>0</v>
      </c>
      <c r="G682" s="5">
        <v>0</v>
      </c>
      <c r="H682" s="4" t="s">
        <v>11</v>
      </c>
      <c r="I682" s="5">
        <v>0</v>
      </c>
      <c r="J682" s="4">
        <v>45945.610694444447</v>
      </c>
    </row>
    <row r="683" spans="1:10" x14ac:dyDescent="0.2">
      <c r="A683" s="2" t="s">
        <v>10</v>
      </c>
      <c r="B683" s="3" t="str">
        <f t="shared" si="17"/>
        <v>Email instauration Abilify Maintena 960 mg_FR-AM2-2400029</v>
      </c>
      <c r="C683" s="3" t="str">
        <f>HYPERLINK("https://otsuka-europe-crm.veevavault.com/ui/#object/sent_email__v/VBLZ025E82HLPI5", "SE-000287849")</f>
        <v>SE-000287849</v>
      </c>
      <c r="D683" s="4" t="s">
        <v>11</v>
      </c>
      <c r="E683" s="5">
        <v>0</v>
      </c>
      <c r="F683" s="5">
        <v>0</v>
      </c>
      <c r="G683" s="5">
        <v>0</v>
      </c>
      <c r="H683" s="4" t="s">
        <v>11</v>
      </c>
      <c r="I683" s="5">
        <v>0</v>
      </c>
      <c r="J683" s="4">
        <v>45946.377256944441</v>
      </c>
    </row>
    <row r="684" spans="1:10" x14ac:dyDescent="0.2">
      <c r="A684" s="2" t="s">
        <v>10</v>
      </c>
      <c r="B684" s="3" t="str">
        <f t="shared" si="17"/>
        <v>Email instauration Abilify Maintena 960 mg_FR-AM2-2400029</v>
      </c>
      <c r="C684" s="3" t="str">
        <f>HYPERLINK("https://otsuka-europe-crm.veevavault.com/ui/#object/sent_email__v/VBLZ025E82HLZZX", "SE-000287881")</f>
        <v>SE-000287881</v>
      </c>
      <c r="D684" s="4">
        <v>45976.911296296297</v>
      </c>
      <c r="E684" s="5">
        <v>1</v>
      </c>
      <c r="F684" s="5">
        <v>6</v>
      </c>
      <c r="G684" s="5">
        <v>0</v>
      </c>
      <c r="H684" s="4" t="s">
        <v>11</v>
      </c>
      <c r="I684" s="5">
        <v>0</v>
      </c>
      <c r="J684" s="4">
        <v>45946.370787037034</v>
      </c>
    </row>
    <row r="685" spans="1:10" x14ac:dyDescent="0.2">
      <c r="A685" s="2" t="s">
        <v>10</v>
      </c>
      <c r="B685" s="3" t="str">
        <f t="shared" ref="B685:B748" si="18">HYPERLINK("https://otsuka-europe-crm.veevavault.com/ui/#object/approved_document__v/V5OZ025E82N8159", "Email instauration Abilify Maintena 960 mg_FR-AM2-2400029")</f>
        <v>Email instauration Abilify Maintena 960 mg_FR-AM2-2400029</v>
      </c>
      <c r="C685" s="3" t="str">
        <f>HYPERLINK("https://otsuka-europe-crm.veevavault.com/ui/#object/sent_email__v/VBLZ025E82HM7V9", "SE-000287900")</f>
        <v>SE-000287900</v>
      </c>
      <c r="D685" s="4" t="s">
        <v>11</v>
      </c>
      <c r="E685" s="5">
        <v>0</v>
      </c>
      <c r="F685" s="5">
        <v>0</v>
      </c>
      <c r="G685" s="5">
        <v>0</v>
      </c>
      <c r="H685" s="4" t="s">
        <v>11</v>
      </c>
      <c r="I685" s="5">
        <v>0</v>
      </c>
      <c r="J685" s="4">
        <v>45946.44222222222</v>
      </c>
    </row>
    <row r="686" spans="1:10" x14ac:dyDescent="0.2">
      <c r="A686" s="2" t="s">
        <v>10</v>
      </c>
      <c r="B686" s="3" t="str">
        <f t="shared" si="18"/>
        <v>Email instauration Abilify Maintena 960 mg_FR-AM2-2400029</v>
      </c>
      <c r="C686" s="3" t="str">
        <f>HYPERLINK("https://otsuka-europe-crm.veevavault.com/ui/#object/sent_email__v/VBLZ025E82HMAYD", "SE-000287911")</f>
        <v>SE-000287911</v>
      </c>
      <c r="D686" s="4" t="s">
        <v>11</v>
      </c>
      <c r="E686" s="5">
        <v>0</v>
      </c>
      <c r="F686" s="5">
        <v>0</v>
      </c>
      <c r="G686" s="5">
        <v>0</v>
      </c>
      <c r="H686" s="4" t="s">
        <v>11</v>
      </c>
      <c r="I686" s="5">
        <v>0</v>
      </c>
      <c r="J686" s="4">
        <v>45946.475219907406</v>
      </c>
    </row>
    <row r="687" spans="1:10" x14ac:dyDescent="0.2">
      <c r="A687" s="2" t="s">
        <v>10</v>
      </c>
      <c r="B687" s="3" t="str">
        <f t="shared" si="18"/>
        <v>Email instauration Abilify Maintena 960 mg_FR-AM2-2400029</v>
      </c>
      <c r="C687" s="3" t="str">
        <f>HYPERLINK("https://otsuka-europe-crm.veevavault.com/ui/#object/sent_email__v/VBLZ025E82HMDKT", "SE-000287920")</f>
        <v>SE-000287920</v>
      </c>
      <c r="D687" s="4" t="s">
        <v>11</v>
      </c>
      <c r="E687" s="5">
        <v>0</v>
      </c>
      <c r="F687" s="5">
        <v>0</v>
      </c>
      <c r="G687" s="5">
        <v>0</v>
      </c>
      <c r="H687" s="4" t="s">
        <v>11</v>
      </c>
      <c r="I687" s="5">
        <v>0</v>
      </c>
      <c r="J687" s="4">
        <v>45946.49962962963</v>
      </c>
    </row>
    <row r="688" spans="1:10" x14ac:dyDescent="0.2">
      <c r="A688" s="2" t="s">
        <v>10</v>
      </c>
      <c r="B688" s="3" t="str">
        <f t="shared" si="18"/>
        <v>Email instauration Abilify Maintena 960 mg_FR-AM2-2400029</v>
      </c>
      <c r="C688" s="3" t="str">
        <f>HYPERLINK("https://otsuka-europe-crm.veevavault.com/ui/#object/sent_email__v/VBLZ025E82HMXSL", "SE-000287960")</f>
        <v>SE-000287960</v>
      </c>
      <c r="D688" s="4" t="s">
        <v>11</v>
      </c>
      <c r="E688" s="5">
        <v>0</v>
      </c>
      <c r="F688" s="5">
        <v>0</v>
      </c>
      <c r="G688" s="5">
        <v>0</v>
      </c>
      <c r="H688" s="4" t="s">
        <v>11</v>
      </c>
      <c r="I688" s="5">
        <v>0</v>
      </c>
      <c r="J688" s="4">
        <v>45946.699537037035</v>
      </c>
    </row>
    <row r="689" spans="1:10" x14ac:dyDescent="0.2">
      <c r="A689" s="2" t="s">
        <v>10</v>
      </c>
      <c r="B689" s="3" t="str">
        <f t="shared" si="18"/>
        <v>Email instauration Abilify Maintena 960 mg_FR-AM2-2400029</v>
      </c>
      <c r="C689" s="3" t="str">
        <f>HYPERLINK("https://otsuka-europe-crm.veevavault.com/ui/#object/sent_email__v/VBLZ025E82HMYC1", "SE-000287961")</f>
        <v>SE-000287961</v>
      </c>
      <c r="D689" s="4" t="s">
        <v>11</v>
      </c>
      <c r="E689" s="5">
        <v>0</v>
      </c>
      <c r="F689" s="5">
        <v>0</v>
      </c>
      <c r="G689" s="5">
        <v>0</v>
      </c>
      <c r="H689" s="4" t="s">
        <v>11</v>
      </c>
      <c r="I689" s="5">
        <v>0</v>
      </c>
      <c r="J689" s="4">
        <v>45946.707696759258</v>
      </c>
    </row>
    <row r="690" spans="1:10" x14ac:dyDescent="0.2">
      <c r="A690" s="2" t="s">
        <v>10</v>
      </c>
      <c r="B690" s="3" t="str">
        <f t="shared" si="18"/>
        <v>Email instauration Abilify Maintena 960 mg_FR-AM2-2400029</v>
      </c>
      <c r="C690" s="3" t="str">
        <f>HYPERLINK("https://otsuka-europe-crm.veevavault.com/ui/#object/sent_email__v/VBLZ025E82HMYET", "SE-000287962")</f>
        <v>SE-000287962</v>
      </c>
      <c r="D690" s="4" t="s">
        <v>11</v>
      </c>
      <c r="E690" s="5">
        <v>0</v>
      </c>
      <c r="F690" s="5">
        <v>0</v>
      </c>
      <c r="G690" s="5">
        <v>0</v>
      </c>
      <c r="H690" s="4" t="s">
        <v>11</v>
      </c>
      <c r="I690" s="5">
        <v>0</v>
      </c>
      <c r="J690" s="4">
        <v>45946.708078703705</v>
      </c>
    </row>
    <row r="691" spans="1:10" x14ac:dyDescent="0.2">
      <c r="A691" s="2" t="s">
        <v>10</v>
      </c>
      <c r="B691" s="3" t="str">
        <f t="shared" si="18"/>
        <v>Email instauration Abilify Maintena 960 mg_FR-AM2-2400029</v>
      </c>
      <c r="C691" s="3" t="str">
        <f>HYPERLINK("https://otsuka-europe-crm.veevavault.com/ui/#object/sent_email__v/VBLZ025E82HMYHL", "SE-000287963")</f>
        <v>SE-000287963</v>
      </c>
      <c r="D691" s="4" t="s">
        <v>11</v>
      </c>
      <c r="E691" s="5">
        <v>0</v>
      </c>
      <c r="F691" s="5">
        <v>0</v>
      </c>
      <c r="G691" s="5">
        <v>0</v>
      </c>
      <c r="H691" s="4" t="s">
        <v>11</v>
      </c>
      <c r="I691" s="5">
        <v>0</v>
      </c>
      <c r="J691" s="4">
        <v>45946.70826388889</v>
      </c>
    </row>
    <row r="692" spans="1:10" x14ac:dyDescent="0.2">
      <c r="A692" s="2" t="s">
        <v>10</v>
      </c>
      <c r="B692" s="3" t="str">
        <f t="shared" si="18"/>
        <v>Email instauration Abilify Maintena 960 mg_FR-AM2-2400029</v>
      </c>
      <c r="C692" s="3" t="str">
        <f>HYPERLINK("https://otsuka-europe-crm.veevavault.com/ui/#object/sent_email__v/VBLZ025E82HN1CD", "SE-000287964")</f>
        <v>SE-000287964</v>
      </c>
      <c r="D692" s="4">
        <v>45973.530243055553</v>
      </c>
      <c r="E692" s="5">
        <v>1</v>
      </c>
      <c r="F692" s="5">
        <v>4</v>
      </c>
      <c r="G692" s="5">
        <v>0</v>
      </c>
      <c r="H692" s="4" t="s">
        <v>11</v>
      </c>
      <c r="I692" s="5">
        <v>0</v>
      </c>
      <c r="J692" s="4">
        <v>45947.26190972222</v>
      </c>
    </row>
    <row r="693" spans="1:10" x14ac:dyDescent="0.2">
      <c r="A693" s="2" t="s">
        <v>10</v>
      </c>
      <c r="B693" s="3" t="str">
        <f t="shared" si="18"/>
        <v>Email instauration Abilify Maintena 960 mg_FR-AM2-2400029</v>
      </c>
      <c r="C693" s="3" t="str">
        <f>HYPERLINK("https://otsuka-europe-crm.veevavault.com/ui/#object/sent_email__v/VBLZ025E82HN1F5", "SE-000287965")</f>
        <v>SE-000287965</v>
      </c>
      <c r="D693" s="4">
        <v>45947.339884259258</v>
      </c>
      <c r="E693" s="5">
        <v>1</v>
      </c>
      <c r="F693" s="5">
        <v>1</v>
      </c>
      <c r="G693" s="5">
        <v>0</v>
      </c>
      <c r="H693" s="4" t="s">
        <v>11</v>
      </c>
      <c r="I693" s="5">
        <v>0</v>
      </c>
      <c r="J693" s="4">
        <v>45947.262407407405</v>
      </c>
    </row>
    <row r="694" spans="1:10" x14ac:dyDescent="0.2">
      <c r="A694" s="2" t="s">
        <v>10</v>
      </c>
      <c r="B694" s="3" t="str">
        <f t="shared" si="18"/>
        <v>Email instauration Abilify Maintena 960 mg_FR-AM2-2400029</v>
      </c>
      <c r="C694" s="3" t="str">
        <f>HYPERLINK("https://otsuka-europe-crm.veevavault.com/ui/#object/sent_email__v/VBLZ025E82HN1HX", "SE-000287966")</f>
        <v>SE-000287966</v>
      </c>
      <c r="D694" s="4" t="s">
        <v>11</v>
      </c>
      <c r="E694" s="5">
        <v>0</v>
      </c>
      <c r="F694" s="5">
        <v>0</v>
      </c>
      <c r="G694" s="5">
        <v>0</v>
      </c>
      <c r="H694" s="4" t="s">
        <v>11</v>
      </c>
      <c r="I694" s="5">
        <v>0</v>
      </c>
      <c r="J694" s="4">
        <v>45947.262800925928</v>
      </c>
    </row>
    <row r="695" spans="1:10" x14ac:dyDescent="0.2">
      <c r="A695" s="2" t="s">
        <v>10</v>
      </c>
      <c r="B695" s="3" t="str">
        <f t="shared" si="18"/>
        <v>Email instauration Abilify Maintena 960 mg_FR-AM2-2400029</v>
      </c>
      <c r="C695" s="3" t="str">
        <f>HYPERLINK("https://otsuka-europe-crm.veevavault.com/ui/#object/sent_email__v/VBLZ025E82HN1KP", "SE-000287967")</f>
        <v>SE-000287967</v>
      </c>
      <c r="D695" s="4" t="s">
        <v>11</v>
      </c>
      <c r="E695" s="5">
        <v>0</v>
      </c>
      <c r="F695" s="5">
        <v>0</v>
      </c>
      <c r="G695" s="5">
        <v>0</v>
      </c>
      <c r="H695" s="4" t="s">
        <v>11</v>
      </c>
      <c r="I695" s="5">
        <v>0</v>
      </c>
      <c r="J695" s="4">
        <v>45947.263182870367</v>
      </c>
    </row>
    <row r="696" spans="1:10" x14ac:dyDescent="0.2">
      <c r="A696" s="2" t="s">
        <v>10</v>
      </c>
      <c r="B696" s="3" t="str">
        <f t="shared" si="18"/>
        <v>Email instauration Abilify Maintena 960 mg_FR-AM2-2400029</v>
      </c>
      <c r="C696" s="3" t="str">
        <f>HYPERLINK("https://otsuka-europe-crm.veevavault.com/ui/#object/sent_email__v/VBLZ025E82HNHXL", "SE-000287999")</f>
        <v>SE-000287999</v>
      </c>
      <c r="D696" s="4" t="s">
        <v>11</v>
      </c>
      <c r="E696" s="5">
        <v>0</v>
      </c>
      <c r="F696" s="5">
        <v>0</v>
      </c>
      <c r="G696" s="5">
        <v>0</v>
      </c>
      <c r="H696" s="4" t="s">
        <v>11</v>
      </c>
      <c r="I696" s="5">
        <v>0</v>
      </c>
      <c r="J696" s="4">
        <v>45947.479988425926</v>
      </c>
    </row>
    <row r="697" spans="1:10" x14ac:dyDescent="0.2">
      <c r="A697" s="2" t="s">
        <v>10</v>
      </c>
      <c r="B697" s="3" t="str">
        <f t="shared" si="18"/>
        <v>Email instauration Abilify Maintena 960 mg_FR-AM2-2400029</v>
      </c>
      <c r="C697" s="3" t="str">
        <f>HYPERLINK("https://otsuka-europe-crm.veevavault.com/ui/#object/sent_email__v/VBLZ025E82HNK8X", "SE-000288004")</f>
        <v>SE-000288004</v>
      </c>
      <c r="D697" s="4">
        <v>45947.51357638889</v>
      </c>
      <c r="E697" s="5">
        <v>1</v>
      </c>
      <c r="F697" s="5">
        <v>1</v>
      </c>
      <c r="G697" s="5">
        <v>0</v>
      </c>
      <c r="H697" s="4" t="s">
        <v>11</v>
      </c>
      <c r="I697" s="5">
        <v>0</v>
      </c>
      <c r="J697" s="4">
        <v>45947.506238425929</v>
      </c>
    </row>
    <row r="698" spans="1:10" x14ac:dyDescent="0.2">
      <c r="A698" s="2" t="s">
        <v>10</v>
      </c>
      <c r="B698" s="3" t="str">
        <f t="shared" si="18"/>
        <v>Email instauration Abilify Maintena 960 mg_FR-AM2-2400029</v>
      </c>
      <c r="C698" s="3" t="str">
        <f>HYPERLINK("https://otsuka-europe-crm.veevavault.com/ui/#object/sent_email__v/VBLZ025E82HNKEH", "SE-000288005")</f>
        <v>SE-000288005</v>
      </c>
      <c r="D698" s="4" t="s">
        <v>11</v>
      </c>
      <c r="E698" s="5">
        <v>0</v>
      </c>
      <c r="F698" s="5">
        <v>0</v>
      </c>
      <c r="G698" s="5">
        <v>0</v>
      </c>
      <c r="H698" s="4" t="s">
        <v>11</v>
      </c>
      <c r="I698" s="5">
        <v>0</v>
      </c>
      <c r="J698" s="4">
        <v>45947.506944444445</v>
      </c>
    </row>
    <row r="699" spans="1:10" x14ac:dyDescent="0.2">
      <c r="A699" s="2" t="s">
        <v>10</v>
      </c>
      <c r="B699" s="3" t="str">
        <f t="shared" si="18"/>
        <v>Email instauration Abilify Maintena 960 mg_FR-AM2-2400029</v>
      </c>
      <c r="C699" s="3" t="str">
        <f>HYPERLINK("https://otsuka-europe-crm.veevavault.com/ui/#object/sent_email__v/VBLZ025E82HNKK1", "SE-000288006")</f>
        <v>SE-000288006</v>
      </c>
      <c r="D699" s="4">
        <v>45952.418993055559</v>
      </c>
      <c r="E699" s="5">
        <v>1</v>
      </c>
      <c r="F699" s="5">
        <v>2</v>
      </c>
      <c r="G699" s="5">
        <v>0</v>
      </c>
      <c r="H699" s="4" t="s">
        <v>11</v>
      </c>
      <c r="I699" s="5">
        <v>0</v>
      </c>
      <c r="J699" s="4">
        <v>45947.507789351854</v>
      </c>
    </row>
    <row r="700" spans="1:10" x14ac:dyDescent="0.2">
      <c r="A700" s="2" t="s">
        <v>10</v>
      </c>
      <c r="B700" s="3" t="str">
        <f t="shared" si="18"/>
        <v>Email instauration Abilify Maintena 960 mg_FR-AM2-2400029</v>
      </c>
      <c r="C700" s="3" t="str">
        <f>HYPERLINK("https://otsuka-europe-crm.veevavault.com/ui/#object/sent_email__v/VBLZ025E82HNUNX", "SE-000288041")</f>
        <v>SE-000288041</v>
      </c>
      <c r="D700" s="4">
        <v>45947.614374999997</v>
      </c>
      <c r="E700" s="5">
        <v>1</v>
      </c>
      <c r="F700" s="5">
        <v>2</v>
      </c>
      <c r="G700" s="5">
        <v>1</v>
      </c>
      <c r="H700" s="4">
        <v>45947.614444444444</v>
      </c>
      <c r="I700" s="5">
        <v>5</v>
      </c>
      <c r="J700" s="4">
        <v>45947.613946759258</v>
      </c>
    </row>
    <row r="701" spans="1:10" x14ac:dyDescent="0.2">
      <c r="A701" s="2" t="s">
        <v>10</v>
      </c>
      <c r="B701" s="3" t="str">
        <f t="shared" si="18"/>
        <v>Email instauration Abilify Maintena 960 mg_FR-AM2-2400029</v>
      </c>
      <c r="C701" s="3" t="str">
        <f>HYPERLINK("https://otsuka-europe-crm.veevavault.com/ui/#object/sent_email__v/VBLZ025E82HPKP9", "SE-000288579")</f>
        <v>SE-000288579</v>
      </c>
      <c r="D701" s="4" t="s">
        <v>11</v>
      </c>
      <c r="E701" s="5">
        <v>0</v>
      </c>
      <c r="F701" s="5">
        <v>0</v>
      </c>
      <c r="G701" s="5">
        <v>0</v>
      </c>
      <c r="H701" s="4" t="s">
        <v>11</v>
      </c>
      <c r="I701" s="5">
        <v>0</v>
      </c>
      <c r="J701" s="4">
        <v>45950.681516203702</v>
      </c>
    </row>
    <row r="702" spans="1:10" x14ac:dyDescent="0.2">
      <c r="A702" s="2" t="s">
        <v>10</v>
      </c>
      <c r="B702" s="3" t="str">
        <f t="shared" si="18"/>
        <v>Email instauration Abilify Maintena 960 mg_FR-AM2-2400029</v>
      </c>
      <c r="C702" s="3" t="str">
        <f>HYPERLINK("https://otsuka-europe-crm.veevavault.com/ui/#object/sent_email__v/VBLZ025E82HQL75", "SE-000289367")</f>
        <v>SE-000289367</v>
      </c>
      <c r="D702" s="4" t="s">
        <v>11</v>
      </c>
      <c r="E702" s="5">
        <v>0</v>
      </c>
      <c r="F702" s="5">
        <v>0</v>
      </c>
      <c r="G702" s="5">
        <v>0</v>
      </c>
      <c r="H702" s="4" t="s">
        <v>11</v>
      </c>
      <c r="I702" s="5">
        <v>0</v>
      </c>
      <c r="J702" s="4">
        <v>45951.645162037035</v>
      </c>
    </row>
    <row r="703" spans="1:10" x14ac:dyDescent="0.2">
      <c r="A703" s="2" t="s">
        <v>10</v>
      </c>
      <c r="B703" s="3" t="str">
        <f t="shared" si="18"/>
        <v>Email instauration Abilify Maintena 960 mg_FR-AM2-2400029</v>
      </c>
      <c r="C703" s="3" t="str">
        <f>HYPERLINK("https://otsuka-europe-crm.veevavault.com/ui/#object/sent_email__v/VBLZ025E82HQO1X", "SE-000289731")</f>
        <v>SE-000289731</v>
      </c>
      <c r="D703" s="4" t="s">
        <v>11</v>
      </c>
      <c r="E703" s="5">
        <v>0</v>
      </c>
      <c r="F703" s="5">
        <v>0</v>
      </c>
      <c r="G703" s="5">
        <v>0</v>
      </c>
      <c r="H703" s="4" t="s">
        <v>11</v>
      </c>
      <c r="I703" s="5">
        <v>0</v>
      </c>
      <c r="J703" s="4">
        <v>45951.676388888889</v>
      </c>
    </row>
    <row r="704" spans="1:10" x14ac:dyDescent="0.2">
      <c r="A704" s="2" t="s">
        <v>10</v>
      </c>
      <c r="B704" s="3" t="str">
        <f t="shared" si="18"/>
        <v>Email instauration Abilify Maintena 960 mg_FR-AM2-2400029</v>
      </c>
      <c r="C704" s="3" t="str">
        <f>HYPERLINK("https://otsuka-europe-crm.veevavault.com/ui/#object/sent_email__v/VBLZ025E82HQO7H", "SE-000289732")</f>
        <v>SE-000289732</v>
      </c>
      <c r="D704" s="4" t="s">
        <v>11</v>
      </c>
      <c r="E704" s="5">
        <v>0</v>
      </c>
      <c r="F704" s="5">
        <v>0</v>
      </c>
      <c r="G704" s="5">
        <v>0</v>
      </c>
      <c r="H704" s="4" t="s">
        <v>11</v>
      </c>
      <c r="I704" s="5">
        <v>0</v>
      </c>
      <c r="J704" s="4">
        <v>45951.679861111108</v>
      </c>
    </row>
    <row r="705" spans="1:10" x14ac:dyDescent="0.2">
      <c r="A705" s="2" t="s">
        <v>10</v>
      </c>
      <c r="B705" s="3" t="str">
        <f t="shared" si="18"/>
        <v>Email instauration Abilify Maintena 960 mg_FR-AM2-2400029</v>
      </c>
      <c r="C705" s="3" t="str">
        <f>HYPERLINK("https://otsuka-europe-crm.veevavault.com/ui/#object/sent_email__v/VBLZ025E82HQPIQ", "SE-000289778")</f>
        <v>SE-000289778</v>
      </c>
      <c r="D705" s="4">
        <v>45952.46025462963</v>
      </c>
      <c r="E705" s="5">
        <v>1</v>
      </c>
      <c r="F705" s="5">
        <v>7</v>
      </c>
      <c r="G705" s="5">
        <v>0</v>
      </c>
      <c r="H705" s="4" t="s">
        <v>11</v>
      </c>
      <c r="I705" s="5">
        <v>0</v>
      </c>
      <c r="J705" s="4">
        <v>45951.696481481478</v>
      </c>
    </row>
    <row r="706" spans="1:10" x14ac:dyDescent="0.2">
      <c r="A706" s="2" t="s">
        <v>10</v>
      </c>
      <c r="B706" s="3" t="str">
        <f t="shared" si="18"/>
        <v>Email instauration Abilify Maintena 960 mg_FR-AM2-2400029</v>
      </c>
      <c r="C706" s="3" t="str">
        <f>HYPERLINK("https://otsuka-europe-crm.veevavault.com/ui/#object/sent_email__v/VBLZ025E82HR5C5", "SE-000289892")</f>
        <v>SE-000289892</v>
      </c>
      <c r="D706" s="4" t="s">
        <v>11</v>
      </c>
      <c r="E706" s="5">
        <v>0</v>
      </c>
      <c r="F706" s="5">
        <v>0</v>
      </c>
      <c r="G706" s="5">
        <v>0</v>
      </c>
      <c r="H706" s="4" t="s">
        <v>11</v>
      </c>
      <c r="I706" s="5">
        <v>0</v>
      </c>
      <c r="J706" s="4">
        <v>45952.438275462962</v>
      </c>
    </row>
    <row r="707" spans="1:10" x14ac:dyDescent="0.2">
      <c r="A707" s="2" t="s">
        <v>10</v>
      </c>
      <c r="B707" s="3" t="str">
        <f t="shared" si="18"/>
        <v>Email instauration Abilify Maintena 960 mg_FR-AM2-2400029</v>
      </c>
      <c r="C707" s="3" t="str">
        <f>HYPERLINK("https://otsuka-europe-crm.veevavault.com/ui/#object/sent_email__v/VBLZ025E82HSPTH", "SE-000290502")</f>
        <v>SE-000290502</v>
      </c>
      <c r="D707" s="4" t="s">
        <v>11</v>
      </c>
      <c r="E707" s="5">
        <v>0</v>
      </c>
      <c r="F707" s="5">
        <v>0</v>
      </c>
      <c r="G707" s="5">
        <v>0</v>
      </c>
      <c r="H707" s="4" t="s">
        <v>11</v>
      </c>
      <c r="I707" s="5">
        <v>0</v>
      </c>
      <c r="J707" s="4">
        <v>45953.622847222221</v>
      </c>
    </row>
    <row r="708" spans="1:10" x14ac:dyDescent="0.2">
      <c r="A708" s="2" t="s">
        <v>10</v>
      </c>
      <c r="B708" s="3" t="str">
        <f t="shared" si="18"/>
        <v>Email instauration Abilify Maintena 960 mg_FR-AM2-2400029</v>
      </c>
      <c r="C708" s="3" t="str">
        <f>HYPERLINK("https://otsuka-europe-crm.veevavault.com/ui/#object/sent_email__v/VBLZ025E82HSQ1T", "SE-000290503")</f>
        <v>SE-000290503</v>
      </c>
      <c r="D708" s="4" t="s">
        <v>11</v>
      </c>
      <c r="E708" s="5">
        <v>0</v>
      </c>
      <c r="F708" s="5">
        <v>0</v>
      </c>
      <c r="G708" s="5">
        <v>0</v>
      </c>
      <c r="H708" s="4" t="s">
        <v>11</v>
      </c>
      <c r="I708" s="5">
        <v>0</v>
      </c>
      <c r="J708" s="4">
        <v>45953.623761574076</v>
      </c>
    </row>
    <row r="709" spans="1:10" x14ac:dyDescent="0.2">
      <c r="A709" s="2" t="s">
        <v>10</v>
      </c>
      <c r="B709" s="3" t="str">
        <f t="shared" si="18"/>
        <v>Email instauration Abilify Maintena 960 mg_FR-AM2-2400029</v>
      </c>
      <c r="C709" s="3" t="str">
        <f>HYPERLINK("https://otsuka-europe-crm.veevavault.com/ui/#object/sent_email__v/VBL000000002417", "SE-001379235")</f>
        <v>SE-001379235</v>
      </c>
      <c r="D709" s="4" t="s">
        <v>11</v>
      </c>
      <c r="E709" s="5">
        <v>0</v>
      </c>
      <c r="F709" s="5">
        <v>0</v>
      </c>
      <c r="G709" s="5">
        <v>0</v>
      </c>
      <c r="H709" s="4" t="s">
        <v>11</v>
      </c>
      <c r="I709" s="5">
        <v>0</v>
      </c>
      <c r="J709" s="4">
        <v>45959.411944444444</v>
      </c>
    </row>
    <row r="710" spans="1:10" x14ac:dyDescent="0.2">
      <c r="A710" s="2" t="s">
        <v>10</v>
      </c>
      <c r="B710" s="3" t="str">
        <f t="shared" si="18"/>
        <v>Email instauration Abilify Maintena 960 mg_FR-AM2-2400029</v>
      </c>
      <c r="C710" s="3" t="str">
        <f>HYPERLINK("https://otsuka-europe-crm.veevavault.com/ui/#object/sent_email__v/VBL000000003195", "SE-001379240")</f>
        <v>SE-001379240</v>
      </c>
      <c r="D710" s="4" t="s">
        <v>11</v>
      </c>
      <c r="E710" s="5">
        <v>0</v>
      </c>
      <c r="F710" s="5">
        <v>0</v>
      </c>
      <c r="G710" s="5">
        <v>0</v>
      </c>
      <c r="H710" s="4" t="s">
        <v>11</v>
      </c>
      <c r="I710" s="5">
        <v>0</v>
      </c>
      <c r="J710" s="4">
        <v>45959.415347222224</v>
      </c>
    </row>
    <row r="711" spans="1:10" x14ac:dyDescent="0.2">
      <c r="A711" s="2" t="s">
        <v>10</v>
      </c>
      <c r="B711" s="3" t="str">
        <f t="shared" si="18"/>
        <v>Email instauration Abilify Maintena 960 mg_FR-AM2-2400029</v>
      </c>
      <c r="C711" s="3" t="str">
        <f>HYPERLINK("https://otsuka-europe-crm.veevavault.com/ui/#object/sent_email__v/VBL000000002422", "SE-001379241")</f>
        <v>SE-001379241</v>
      </c>
      <c r="D711" s="4">
        <v>45959.466747685183</v>
      </c>
      <c r="E711" s="5">
        <v>1</v>
      </c>
      <c r="F711" s="5">
        <v>1</v>
      </c>
      <c r="G711" s="5">
        <v>0</v>
      </c>
      <c r="H711" s="4" t="s">
        <v>11</v>
      </c>
      <c r="I711" s="5">
        <v>0</v>
      </c>
      <c r="J711" s="4">
        <v>45959.416192129633</v>
      </c>
    </row>
    <row r="712" spans="1:10" x14ac:dyDescent="0.2">
      <c r="A712" s="2" t="s">
        <v>10</v>
      </c>
      <c r="B712" s="3" t="str">
        <f t="shared" si="18"/>
        <v>Email instauration Abilify Maintena 960 mg_FR-AM2-2400029</v>
      </c>
      <c r="C712" s="3" t="str">
        <f>HYPERLINK("https://otsuka-europe-crm.veevavault.com/ui/#object/sent_email__v/VBL000000002423", "SE-001379242")</f>
        <v>SE-001379242</v>
      </c>
      <c r="D712" s="4" t="s">
        <v>11</v>
      </c>
      <c r="E712" s="5">
        <v>0</v>
      </c>
      <c r="F712" s="5">
        <v>0</v>
      </c>
      <c r="G712" s="5">
        <v>0</v>
      </c>
      <c r="H712" s="4" t="s">
        <v>11</v>
      </c>
      <c r="I712" s="5">
        <v>0</v>
      </c>
      <c r="J712" s="4">
        <v>45959.416527777779</v>
      </c>
    </row>
    <row r="713" spans="1:10" x14ac:dyDescent="0.2">
      <c r="A713" s="2" t="s">
        <v>10</v>
      </c>
      <c r="B713" s="3" t="str">
        <f t="shared" si="18"/>
        <v>Email instauration Abilify Maintena 960 mg_FR-AM2-2400029</v>
      </c>
      <c r="C713" s="3" t="str">
        <f>HYPERLINK("https://otsuka-europe-crm.veevavault.com/ui/#object/sent_email__v/VBL000000003196", "SE-001379243")</f>
        <v>SE-001379243</v>
      </c>
      <c r="D713" s="4" t="s">
        <v>11</v>
      </c>
      <c r="E713" s="5">
        <v>0</v>
      </c>
      <c r="F713" s="5">
        <v>0</v>
      </c>
      <c r="G713" s="5">
        <v>0</v>
      </c>
      <c r="H713" s="4" t="s">
        <v>11</v>
      </c>
      <c r="I713" s="5">
        <v>0</v>
      </c>
      <c r="J713" s="4">
        <v>45959.41678240741</v>
      </c>
    </row>
    <row r="714" spans="1:10" x14ac:dyDescent="0.2">
      <c r="A714" s="2" t="s">
        <v>10</v>
      </c>
      <c r="B714" s="3" t="str">
        <f t="shared" si="18"/>
        <v>Email instauration Abilify Maintena 960 mg_FR-AM2-2400029</v>
      </c>
      <c r="C714" s="3" t="str">
        <f>HYPERLINK("https://otsuka-europe-crm.veevavault.com/ui/#object/sent_email__v/VBL000000002424", "SE-001379244")</f>
        <v>SE-001379244</v>
      </c>
      <c r="D714" s="4" t="s">
        <v>11</v>
      </c>
      <c r="E714" s="5">
        <v>0</v>
      </c>
      <c r="F714" s="5">
        <v>0</v>
      </c>
      <c r="G714" s="5">
        <v>0</v>
      </c>
      <c r="H714" s="4" t="s">
        <v>11</v>
      </c>
      <c r="I714" s="5">
        <v>0</v>
      </c>
      <c r="J714" s="4">
        <v>45959.417118055557</v>
      </c>
    </row>
    <row r="715" spans="1:10" x14ac:dyDescent="0.2">
      <c r="A715" s="2" t="s">
        <v>10</v>
      </c>
      <c r="B715" s="3" t="str">
        <f t="shared" si="18"/>
        <v>Email instauration Abilify Maintena 960 mg_FR-AM2-2400029</v>
      </c>
      <c r="C715" s="3" t="str">
        <f>HYPERLINK("https://otsuka-europe-crm.veevavault.com/ui/#object/sent_email__v/VBL000000002436", "SE-001379271")</f>
        <v>SE-001379271</v>
      </c>
      <c r="D715" s="4">
        <v>45959.733414351853</v>
      </c>
      <c r="E715" s="5">
        <v>1</v>
      </c>
      <c r="F715" s="5">
        <v>1</v>
      </c>
      <c r="G715" s="5">
        <v>0</v>
      </c>
      <c r="H715" s="4" t="s">
        <v>11</v>
      </c>
      <c r="I715" s="5">
        <v>0</v>
      </c>
      <c r="J715" s="4">
        <v>45959.654930555553</v>
      </c>
    </row>
    <row r="716" spans="1:10" x14ac:dyDescent="0.2">
      <c r="A716" s="2" t="s">
        <v>10</v>
      </c>
      <c r="B716" s="3" t="str">
        <f t="shared" si="18"/>
        <v>Email instauration Abilify Maintena 960 mg_FR-AM2-2400029</v>
      </c>
      <c r="C716" s="3" t="str">
        <f>HYPERLINK("https://otsuka-europe-crm.veevavault.com/ui/#object/sent_email__v/VBL000000002438", "SE-001379273")</f>
        <v>SE-001379273</v>
      </c>
      <c r="D716" s="4">
        <v>45960.358159722222</v>
      </c>
      <c r="E716" s="5">
        <v>1</v>
      </c>
      <c r="F716" s="5">
        <v>4</v>
      </c>
      <c r="G716" s="5">
        <v>0</v>
      </c>
      <c r="H716" s="4" t="s">
        <v>11</v>
      </c>
      <c r="I716" s="5">
        <v>0</v>
      </c>
      <c r="J716" s="4">
        <v>45959.655266203707</v>
      </c>
    </row>
    <row r="717" spans="1:10" x14ac:dyDescent="0.2">
      <c r="A717" s="2" t="s">
        <v>10</v>
      </c>
      <c r="B717" s="3" t="str">
        <f t="shared" si="18"/>
        <v>Email instauration Abilify Maintena 960 mg_FR-AM2-2400029</v>
      </c>
      <c r="C717" s="3" t="str">
        <f>HYPERLINK("https://otsuka-europe-crm.veevavault.com/ui/#object/sent_email__v/VBL000000005342", "SE-001380189")</f>
        <v>SE-001380189</v>
      </c>
      <c r="D717" s="4" t="s">
        <v>11</v>
      </c>
      <c r="E717" s="5">
        <v>0</v>
      </c>
      <c r="F717" s="5">
        <v>0</v>
      </c>
      <c r="G717" s="5">
        <v>0</v>
      </c>
      <c r="H717" s="4" t="s">
        <v>11</v>
      </c>
      <c r="I717" s="5">
        <v>0</v>
      </c>
      <c r="J717" s="4">
        <v>45961.655740740738</v>
      </c>
    </row>
    <row r="718" spans="1:10" x14ac:dyDescent="0.2">
      <c r="A718" s="2" t="s">
        <v>10</v>
      </c>
      <c r="B718" s="3" t="str">
        <f t="shared" si="18"/>
        <v>Email instauration Abilify Maintena 960 mg_FR-AM2-2400029</v>
      </c>
      <c r="C718" s="3" t="str">
        <f>HYPERLINK("https://otsuka-europe-crm.veevavault.com/ui/#object/sent_email__v/VBL000000005344", "SE-001380191")</f>
        <v>SE-001380191</v>
      </c>
      <c r="D718" s="4">
        <v>45961.674305555556</v>
      </c>
      <c r="E718" s="5">
        <v>1</v>
      </c>
      <c r="F718" s="5">
        <v>1</v>
      </c>
      <c r="G718" s="5">
        <v>0</v>
      </c>
      <c r="H718" s="4" t="s">
        <v>11</v>
      </c>
      <c r="I718" s="5">
        <v>0</v>
      </c>
      <c r="J718" s="4">
        <v>45961.658217592594</v>
      </c>
    </row>
    <row r="719" spans="1:10" x14ac:dyDescent="0.2">
      <c r="A719" s="2" t="s">
        <v>10</v>
      </c>
      <c r="B719" s="3" t="str">
        <f t="shared" si="18"/>
        <v>Email instauration Abilify Maintena 960 mg_FR-AM2-2400029</v>
      </c>
      <c r="C719" s="3" t="str">
        <f>HYPERLINK("https://otsuka-europe-crm.veevavault.com/ui/#object/sent_email__v/VBL000000006509", "SE-001381661")</f>
        <v>SE-001381661</v>
      </c>
      <c r="D719" s="4">
        <v>45967.788148148145</v>
      </c>
      <c r="E719" s="5">
        <v>1</v>
      </c>
      <c r="F719" s="5">
        <v>1</v>
      </c>
      <c r="G719" s="5">
        <v>0</v>
      </c>
      <c r="H719" s="4" t="s">
        <v>11</v>
      </c>
      <c r="I719" s="5">
        <v>0</v>
      </c>
      <c r="J719" s="4">
        <v>45967.703252314815</v>
      </c>
    </row>
    <row r="720" spans="1:10" x14ac:dyDescent="0.2">
      <c r="A720" s="2" t="s">
        <v>10</v>
      </c>
      <c r="B720" s="3" t="str">
        <f t="shared" si="18"/>
        <v>Email instauration Abilify Maintena 960 mg_FR-AM2-2400029</v>
      </c>
      <c r="C720" s="3" t="str">
        <f>HYPERLINK("https://otsuka-europe-crm.veevavault.com/ui/#object/sent_email__v/VBL000000006510", "SE-001381662")</f>
        <v>SE-001381662</v>
      </c>
      <c r="D720" s="4" t="s">
        <v>11</v>
      </c>
      <c r="E720" s="5">
        <v>0</v>
      </c>
      <c r="F720" s="5">
        <v>0</v>
      </c>
      <c r="G720" s="5">
        <v>0</v>
      </c>
      <c r="H720" s="4" t="s">
        <v>11</v>
      </c>
      <c r="I720" s="5">
        <v>0</v>
      </c>
      <c r="J720" s="4">
        <v>45967.703831018516</v>
      </c>
    </row>
    <row r="721" spans="1:10" x14ac:dyDescent="0.2">
      <c r="A721" s="2" t="s">
        <v>10</v>
      </c>
      <c r="B721" s="3" t="str">
        <f t="shared" si="18"/>
        <v>Email instauration Abilify Maintena 960 mg_FR-AM2-2400029</v>
      </c>
      <c r="C721" s="3" t="str">
        <f>HYPERLINK("https://otsuka-europe-crm.veevavault.com/ui/#object/sent_email__v/VBL000000008664", "SE-001382008")</f>
        <v>SE-001382008</v>
      </c>
      <c r="D721" s="4" t="s">
        <v>11</v>
      </c>
      <c r="E721" s="5">
        <v>0</v>
      </c>
      <c r="F721" s="5">
        <v>0</v>
      </c>
      <c r="G721" s="5">
        <v>0</v>
      </c>
      <c r="H721" s="4" t="s">
        <v>11</v>
      </c>
      <c r="I721" s="5">
        <v>0</v>
      </c>
      <c r="J721" s="4">
        <v>45968.537187499998</v>
      </c>
    </row>
    <row r="722" spans="1:10" x14ac:dyDescent="0.2">
      <c r="A722" s="2" t="s">
        <v>10</v>
      </c>
      <c r="B722" s="3" t="str">
        <f t="shared" si="18"/>
        <v>Email instauration Abilify Maintena 960 mg_FR-AM2-2400029</v>
      </c>
      <c r="C722" s="3" t="str">
        <f>HYPERLINK("https://otsuka-europe-crm.veevavault.com/ui/#object/sent_email__v/VBL000000007509", "SE-001382022")</f>
        <v>SE-001382022</v>
      </c>
      <c r="D722" s="4" t="s">
        <v>11</v>
      </c>
      <c r="E722" s="5">
        <v>0</v>
      </c>
      <c r="F722" s="5">
        <v>0</v>
      </c>
      <c r="G722" s="5">
        <v>0</v>
      </c>
      <c r="H722" s="4" t="s">
        <v>11</v>
      </c>
      <c r="I722" s="5">
        <v>0</v>
      </c>
      <c r="J722" s="4">
        <v>45968.60292824074</v>
      </c>
    </row>
    <row r="723" spans="1:10" x14ac:dyDescent="0.2">
      <c r="A723" s="2" t="s">
        <v>10</v>
      </c>
      <c r="B723" s="3" t="str">
        <f t="shared" si="18"/>
        <v>Email instauration Abilify Maintena 960 mg_FR-AM2-2400029</v>
      </c>
      <c r="C723" s="3" t="str">
        <f>HYPERLINK("https://otsuka-europe-crm.veevavault.com/ui/#object/sent_email__v/VBL000000008670", "SE-001382023")</f>
        <v>SE-001382023</v>
      </c>
      <c r="D723" s="4">
        <v>45968.827048611114</v>
      </c>
      <c r="E723" s="5">
        <v>1</v>
      </c>
      <c r="F723" s="5">
        <v>1</v>
      </c>
      <c r="G723" s="5">
        <v>0</v>
      </c>
      <c r="H723" s="4" t="s">
        <v>11</v>
      </c>
      <c r="I723" s="5">
        <v>0</v>
      </c>
      <c r="J723" s="4">
        <v>45968.603460648148</v>
      </c>
    </row>
    <row r="724" spans="1:10" x14ac:dyDescent="0.2">
      <c r="A724" s="2" t="s">
        <v>10</v>
      </c>
      <c r="B724" s="3" t="str">
        <f t="shared" si="18"/>
        <v>Email instauration Abilify Maintena 960 mg_FR-AM2-2400029</v>
      </c>
      <c r="C724" s="3" t="str">
        <f>HYPERLINK("https://otsuka-europe-crm.veevavault.com/ui/#object/sent_email__v/VBL000000007510", "SE-001382024")</f>
        <v>SE-001382024</v>
      </c>
      <c r="D724" s="4">
        <v>45971.92796296296</v>
      </c>
      <c r="E724" s="5">
        <v>1</v>
      </c>
      <c r="F724" s="5">
        <v>4</v>
      </c>
      <c r="G724" s="5">
        <v>0</v>
      </c>
      <c r="H724" s="4" t="s">
        <v>11</v>
      </c>
      <c r="I724" s="5">
        <v>0</v>
      </c>
      <c r="J724" s="4">
        <v>45968.604490740741</v>
      </c>
    </row>
    <row r="725" spans="1:10" x14ac:dyDescent="0.2">
      <c r="A725" s="2" t="s">
        <v>10</v>
      </c>
      <c r="B725" s="3" t="str">
        <f t="shared" si="18"/>
        <v>Email instauration Abilify Maintena 960 mg_FR-AM2-2400029</v>
      </c>
      <c r="C725" s="3" t="str">
        <f>HYPERLINK("https://otsuka-europe-crm.veevavault.com/ui/#object/sent_email__v/VBL000000009679", "SE-001383824")</f>
        <v>SE-001383824</v>
      </c>
      <c r="D725" s="4">
        <v>45987.398194444446</v>
      </c>
      <c r="E725" s="5">
        <v>1</v>
      </c>
      <c r="F725" s="5">
        <v>5</v>
      </c>
      <c r="G725" s="5">
        <v>0</v>
      </c>
      <c r="H725" s="4" t="s">
        <v>11</v>
      </c>
      <c r="I725" s="5">
        <v>0</v>
      </c>
      <c r="J725" s="4">
        <v>45968.693923611114</v>
      </c>
    </row>
    <row r="726" spans="1:10" x14ac:dyDescent="0.2">
      <c r="A726" s="2" t="s">
        <v>10</v>
      </c>
      <c r="B726" s="3" t="str">
        <f t="shared" si="18"/>
        <v>Email instauration Abilify Maintena 960 mg_FR-AM2-2400029</v>
      </c>
      <c r="C726" s="3" t="str">
        <f>HYPERLINK("https://otsuka-europe-crm.veevavault.com/ui/#object/sent_email__v/VBL000000009719", "SE-001383865")</f>
        <v>SE-001383865</v>
      </c>
      <c r="D726" s="4" t="s">
        <v>11</v>
      </c>
      <c r="E726" s="5">
        <v>0</v>
      </c>
      <c r="F726" s="5">
        <v>0</v>
      </c>
      <c r="G726" s="5">
        <v>0</v>
      </c>
      <c r="H726" s="4" t="s">
        <v>11</v>
      </c>
      <c r="I726" s="5">
        <v>0</v>
      </c>
      <c r="J726" s="4">
        <v>45968.755937499998</v>
      </c>
    </row>
    <row r="727" spans="1:10" x14ac:dyDescent="0.2">
      <c r="A727" s="2" t="s">
        <v>10</v>
      </c>
      <c r="B727" s="3" t="str">
        <f t="shared" si="18"/>
        <v>Email instauration Abilify Maintena 960 mg_FR-AM2-2400029</v>
      </c>
      <c r="C727" s="3" t="str">
        <f>HYPERLINK("https://otsuka-europe-crm.veevavault.com/ui/#object/sent_email__v/VBL00000000M474", "SE-001389482")</f>
        <v>SE-001389482</v>
      </c>
      <c r="D727" s="4">
        <v>45973.953564814816</v>
      </c>
      <c r="E727" s="5">
        <v>1</v>
      </c>
      <c r="F727" s="5">
        <v>1</v>
      </c>
      <c r="G727" s="5">
        <v>0</v>
      </c>
      <c r="H727" s="4" t="s">
        <v>11</v>
      </c>
      <c r="I727" s="5">
        <v>0</v>
      </c>
      <c r="J727" s="4">
        <v>45973.354224537034</v>
      </c>
    </row>
    <row r="728" spans="1:10" x14ac:dyDescent="0.2">
      <c r="A728" s="2" t="s">
        <v>10</v>
      </c>
      <c r="B728" s="3" t="str">
        <f t="shared" si="18"/>
        <v>Email instauration Abilify Maintena 960 mg_FR-AM2-2400029</v>
      </c>
      <c r="C728" s="3" t="str">
        <f>HYPERLINK("https://otsuka-europe-crm.veevavault.com/ui/#object/sent_email__v/VBL00000000J947", "SE-001389488")</f>
        <v>SE-001389488</v>
      </c>
      <c r="D728" s="4">
        <v>45974.453449074077</v>
      </c>
      <c r="E728" s="5">
        <v>1</v>
      </c>
      <c r="F728" s="5">
        <v>2</v>
      </c>
      <c r="G728" s="5">
        <v>0</v>
      </c>
      <c r="H728" s="4" t="s">
        <v>11</v>
      </c>
      <c r="I728" s="5">
        <v>0</v>
      </c>
      <c r="J728" s="4">
        <v>45973.373877314814</v>
      </c>
    </row>
    <row r="729" spans="1:10" x14ac:dyDescent="0.2">
      <c r="A729" s="2" t="s">
        <v>10</v>
      </c>
      <c r="B729" s="3" t="str">
        <f t="shared" si="18"/>
        <v>Email instauration Abilify Maintena 960 mg_FR-AM2-2400029</v>
      </c>
      <c r="C729" s="3" t="str">
        <f>HYPERLINK("https://otsuka-europe-crm.veevavault.com/ui/#object/sent_email__v/VBL00000000M930", "SE-001390216")</f>
        <v>SE-001390216</v>
      </c>
      <c r="D729" s="4" t="s">
        <v>11</v>
      </c>
      <c r="E729" s="5">
        <v>0</v>
      </c>
      <c r="F729" s="5">
        <v>0</v>
      </c>
      <c r="G729" s="5">
        <v>0</v>
      </c>
      <c r="H729" s="4" t="s">
        <v>11</v>
      </c>
      <c r="I729" s="5">
        <v>0</v>
      </c>
      <c r="J729" s="4">
        <v>45974.633229166669</v>
      </c>
    </row>
    <row r="730" spans="1:10" x14ac:dyDescent="0.2">
      <c r="A730" s="2" t="s">
        <v>10</v>
      </c>
      <c r="B730" s="3" t="str">
        <f t="shared" si="18"/>
        <v>Email instauration Abilify Maintena 960 mg_FR-AM2-2400029</v>
      </c>
      <c r="C730" s="3" t="str">
        <f>HYPERLINK("https://otsuka-europe-crm.veevavault.com/ui/#object/sent_email__v/VBL00000000M935", "SE-001390225")</f>
        <v>SE-001390225</v>
      </c>
      <c r="D730" s="4">
        <v>45974.942048611112</v>
      </c>
      <c r="E730" s="5">
        <v>1</v>
      </c>
      <c r="F730" s="5">
        <v>2</v>
      </c>
      <c r="G730" s="5">
        <v>0</v>
      </c>
      <c r="H730" s="4" t="s">
        <v>11</v>
      </c>
      <c r="I730" s="5">
        <v>0</v>
      </c>
      <c r="J730" s="4">
        <v>45974.705428240741</v>
      </c>
    </row>
    <row r="731" spans="1:10" x14ac:dyDescent="0.2">
      <c r="A731" s="2" t="s">
        <v>10</v>
      </c>
      <c r="B731" s="3" t="str">
        <f t="shared" si="18"/>
        <v>Email instauration Abilify Maintena 960 mg_FR-AM2-2400029</v>
      </c>
      <c r="C731" s="3" t="str">
        <f>HYPERLINK("https://otsuka-europe-crm.veevavault.com/ui/#object/sent_email__v/VBL00000000N234", "SE-001390226")</f>
        <v>SE-001390226</v>
      </c>
      <c r="D731" s="4" t="s">
        <v>11</v>
      </c>
      <c r="E731" s="5">
        <v>0</v>
      </c>
      <c r="F731" s="5">
        <v>0</v>
      </c>
      <c r="G731" s="5">
        <v>0</v>
      </c>
      <c r="H731" s="4" t="s">
        <v>11</v>
      </c>
      <c r="I731" s="5">
        <v>0</v>
      </c>
      <c r="J731" s="4">
        <v>45974.709270833337</v>
      </c>
    </row>
    <row r="732" spans="1:10" x14ac:dyDescent="0.2">
      <c r="A732" s="2" t="s">
        <v>10</v>
      </c>
      <c r="B732" s="3" t="str">
        <f t="shared" si="18"/>
        <v>Email instauration Abilify Maintena 960 mg_FR-AM2-2400029</v>
      </c>
      <c r="C732" s="3" t="str">
        <f>HYPERLINK("https://otsuka-europe-crm.veevavault.com/ui/#object/sent_email__v/VBL00000000M940", "SE-001390238")</f>
        <v>SE-001390238</v>
      </c>
      <c r="D732" s="4">
        <v>45975.401643518519</v>
      </c>
      <c r="E732" s="5">
        <v>1</v>
      </c>
      <c r="F732" s="5">
        <v>1</v>
      </c>
      <c r="G732" s="5">
        <v>0</v>
      </c>
      <c r="H732" s="4" t="s">
        <v>11</v>
      </c>
      <c r="I732" s="5">
        <v>0</v>
      </c>
      <c r="J732" s="4">
        <v>45975.399930555555</v>
      </c>
    </row>
    <row r="733" spans="1:10" x14ac:dyDescent="0.2">
      <c r="A733" s="2" t="s">
        <v>10</v>
      </c>
      <c r="B733" s="3" t="str">
        <f t="shared" si="18"/>
        <v>Email instauration Abilify Maintena 960 mg_FR-AM2-2400029</v>
      </c>
      <c r="C733" s="3" t="str">
        <f>HYPERLINK("https://otsuka-europe-crm.veevavault.com/ui/#object/sent_email__v/VBL00000000M942", "SE-001390242")</f>
        <v>SE-001390242</v>
      </c>
      <c r="D733" s="4">
        <v>45990.601886574077</v>
      </c>
      <c r="E733" s="5">
        <v>1</v>
      </c>
      <c r="F733" s="5">
        <v>5</v>
      </c>
      <c r="G733" s="5">
        <v>0</v>
      </c>
      <c r="H733" s="4" t="s">
        <v>11</v>
      </c>
      <c r="I733" s="5">
        <v>0</v>
      </c>
      <c r="J733" s="4">
        <v>45975.406655092593</v>
      </c>
    </row>
    <row r="734" spans="1:10" x14ac:dyDescent="0.2">
      <c r="A734" s="2" t="s">
        <v>10</v>
      </c>
      <c r="B734" s="3" t="str">
        <f t="shared" si="18"/>
        <v>Email instauration Abilify Maintena 960 mg_FR-AM2-2400029</v>
      </c>
      <c r="C734" s="3" t="str">
        <f>HYPERLINK("https://otsuka-europe-crm.veevavault.com/ui/#object/sent_email__v/VBL00000000M984", "SE-001390303")</f>
        <v>SE-001390303</v>
      </c>
      <c r="D734" s="4" t="s">
        <v>11</v>
      </c>
      <c r="E734" s="5">
        <v>0</v>
      </c>
      <c r="F734" s="5">
        <v>0</v>
      </c>
      <c r="G734" s="5">
        <v>0</v>
      </c>
      <c r="H734" s="4" t="s">
        <v>11</v>
      </c>
      <c r="I734" s="5">
        <v>0</v>
      </c>
      <c r="J734" s="4">
        <v>45975.644409722219</v>
      </c>
    </row>
    <row r="735" spans="1:10" x14ac:dyDescent="0.2">
      <c r="A735" s="2" t="s">
        <v>10</v>
      </c>
      <c r="B735" s="3" t="str">
        <f t="shared" si="18"/>
        <v>Email instauration Abilify Maintena 960 mg_FR-AM2-2400029</v>
      </c>
      <c r="C735" s="3" t="str">
        <f>HYPERLINK("https://otsuka-europe-crm.veevavault.com/ui/#object/sent_email__v/VBL00000000M985", "SE-001390304")</f>
        <v>SE-001390304</v>
      </c>
      <c r="D735" s="4">
        <v>45978.392928240741</v>
      </c>
      <c r="E735" s="5">
        <v>1</v>
      </c>
      <c r="F735" s="5">
        <v>1</v>
      </c>
      <c r="G735" s="5">
        <v>0</v>
      </c>
      <c r="H735" s="4" t="s">
        <v>11</v>
      </c>
      <c r="I735" s="5">
        <v>0</v>
      </c>
      <c r="J735" s="4">
        <v>45975.644444444442</v>
      </c>
    </row>
    <row r="736" spans="1:10" x14ac:dyDescent="0.2">
      <c r="A736" s="2" t="s">
        <v>10</v>
      </c>
      <c r="B736" s="3" t="str">
        <f t="shared" si="18"/>
        <v>Email instauration Abilify Maintena 960 mg_FR-AM2-2400029</v>
      </c>
      <c r="C736" s="3" t="str">
        <f>HYPERLINK("https://otsuka-europe-crm.veevavault.com/ui/#object/sent_email__v/VBL00000000M986", "SE-001390305")</f>
        <v>SE-001390305</v>
      </c>
      <c r="D736" s="4" t="s">
        <v>11</v>
      </c>
      <c r="E736" s="5">
        <v>0</v>
      </c>
      <c r="F736" s="5">
        <v>0</v>
      </c>
      <c r="G736" s="5">
        <v>0</v>
      </c>
      <c r="H736" s="4" t="s">
        <v>11</v>
      </c>
      <c r="I736" s="5">
        <v>0</v>
      </c>
      <c r="J736" s="4">
        <v>45975.644490740742</v>
      </c>
    </row>
    <row r="737" spans="1:10" x14ac:dyDescent="0.2">
      <c r="A737" s="2" t="s">
        <v>10</v>
      </c>
      <c r="B737" s="3" t="str">
        <f t="shared" si="18"/>
        <v>Email instauration Abilify Maintena 960 mg_FR-AM2-2400029</v>
      </c>
      <c r="C737" s="3" t="str">
        <f>HYPERLINK("https://otsuka-europe-crm.veevavault.com/ui/#object/sent_email__v/VBL00000000M987", "SE-001390306")</f>
        <v>SE-001390306</v>
      </c>
      <c r="D737" s="4">
        <v>45975.660682870373</v>
      </c>
      <c r="E737" s="5">
        <v>1</v>
      </c>
      <c r="F737" s="5">
        <v>1</v>
      </c>
      <c r="G737" s="5">
        <v>0</v>
      </c>
      <c r="H737" s="4" t="s">
        <v>11</v>
      </c>
      <c r="I737" s="5">
        <v>0</v>
      </c>
      <c r="J737" s="4">
        <v>45975.644513888888</v>
      </c>
    </row>
    <row r="738" spans="1:10" x14ac:dyDescent="0.2">
      <c r="A738" s="2" t="s">
        <v>10</v>
      </c>
      <c r="B738" s="3" t="str">
        <f t="shared" si="18"/>
        <v>Email instauration Abilify Maintena 960 mg_FR-AM2-2400029</v>
      </c>
      <c r="C738" s="3" t="str">
        <f>HYPERLINK("https://otsuka-europe-crm.veevavault.com/ui/#object/sent_email__v/VBL00000000M988", "SE-001390307")</f>
        <v>SE-001390307</v>
      </c>
      <c r="D738" s="4" t="s">
        <v>11</v>
      </c>
      <c r="E738" s="5">
        <v>0</v>
      </c>
      <c r="F738" s="5">
        <v>0</v>
      </c>
      <c r="G738" s="5">
        <v>0</v>
      </c>
      <c r="H738" s="4" t="s">
        <v>11</v>
      </c>
      <c r="I738" s="5">
        <v>0</v>
      </c>
      <c r="J738" s="4">
        <v>45975.644560185188</v>
      </c>
    </row>
    <row r="739" spans="1:10" x14ac:dyDescent="0.2">
      <c r="A739" s="2" t="s">
        <v>10</v>
      </c>
      <c r="B739" s="3" t="str">
        <f t="shared" si="18"/>
        <v>Email instauration Abilify Maintena 960 mg_FR-AM2-2400029</v>
      </c>
      <c r="C739" s="3" t="str">
        <f>HYPERLINK("https://otsuka-europe-crm.veevavault.com/ui/#object/sent_email__v/VBL00000000M989", "SE-001390308")</f>
        <v>SE-001390308</v>
      </c>
      <c r="D739" s="4" t="s">
        <v>11</v>
      </c>
      <c r="E739" s="5">
        <v>0</v>
      </c>
      <c r="F739" s="5">
        <v>0</v>
      </c>
      <c r="G739" s="5">
        <v>0</v>
      </c>
      <c r="H739" s="4" t="s">
        <v>11</v>
      </c>
      <c r="I739" s="5">
        <v>0</v>
      </c>
      <c r="J739" s="4">
        <v>45975.644606481481</v>
      </c>
    </row>
    <row r="740" spans="1:10" x14ac:dyDescent="0.2">
      <c r="A740" s="2" t="s">
        <v>10</v>
      </c>
      <c r="B740" s="3" t="str">
        <f t="shared" si="18"/>
        <v>Email instauration Abilify Maintena 960 mg_FR-AM2-2400029</v>
      </c>
      <c r="C740" s="3" t="str">
        <f>HYPERLINK("https://otsuka-europe-crm.veevavault.com/ui/#object/sent_email__v/VBL00000000M990", "SE-001390309")</f>
        <v>SE-001390309</v>
      </c>
      <c r="D740" s="4" t="s">
        <v>11</v>
      </c>
      <c r="E740" s="5">
        <v>0</v>
      </c>
      <c r="F740" s="5">
        <v>0</v>
      </c>
      <c r="G740" s="5">
        <v>0</v>
      </c>
      <c r="H740" s="4" t="s">
        <v>11</v>
      </c>
      <c r="I740" s="5">
        <v>0</v>
      </c>
      <c r="J740" s="4">
        <v>45975.644641203704</v>
      </c>
    </row>
    <row r="741" spans="1:10" x14ac:dyDescent="0.2">
      <c r="A741" s="2" t="s">
        <v>10</v>
      </c>
      <c r="B741" s="3" t="str">
        <f t="shared" si="18"/>
        <v>Email instauration Abilify Maintena 960 mg_FR-AM2-2400029</v>
      </c>
      <c r="C741" s="3" t="str">
        <f>HYPERLINK("https://otsuka-europe-crm.veevavault.com/ui/#object/sent_email__v/VBL00000000M991", "SE-001390310")</f>
        <v>SE-001390310</v>
      </c>
      <c r="D741" s="4" t="s">
        <v>11</v>
      </c>
      <c r="E741" s="5">
        <v>0</v>
      </c>
      <c r="F741" s="5">
        <v>0</v>
      </c>
      <c r="G741" s="5">
        <v>0</v>
      </c>
      <c r="H741" s="4" t="s">
        <v>11</v>
      </c>
      <c r="I741" s="5">
        <v>0</v>
      </c>
      <c r="J741" s="4">
        <v>45975.644687499997</v>
      </c>
    </row>
    <row r="742" spans="1:10" x14ac:dyDescent="0.2">
      <c r="A742" s="2" t="s">
        <v>10</v>
      </c>
      <c r="B742" s="3" t="str">
        <f t="shared" si="18"/>
        <v>Email instauration Abilify Maintena 960 mg_FR-AM2-2400029</v>
      </c>
      <c r="C742" s="3" t="str">
        <f>HYPERLINK("https://otsuka-europe-crm.veevavault.com/ui/#object/sent_email__v/VBL00000000M992", "SE-001390311")</f>
        <v>SE-001390311</v>
      </c>
      <c r="D742" s="4" t="s">
        <v>11</v>
      </c>
      <c r="E742" s="5">
        <v>0</v>
      </c>
      <c r="F742" s="5">
        <v>0</v>
      </c>
      <c r="G742" s="5">
        <v>0</v>
      </c>
      <c r="H742" s="4" t="s">
        <v>11</v>
      </c>
      <c r="I742" s="5">
        <v>0</v>
      </c>
      <c r="J742" s="4">
        <v>45975.64472222222</v>
      </c>
    </row>
    <row r="743" spans="1:10" x14ac:dyDescent="0.2">
      <c r="A743" s="2" t="s">
        <v>10</v>
      </c>
      <c r="B743" s="3" t="str">
        <f t="shared" si="18"/>
        <v>Email instauration Abilify Maintena 960 mg_FR-AM2-2400029</v>
      </c>
      <c r="C743" s="3" t="str">
        <f>HYPERLINK("https://otsuka-europe-crm.veevavault.com/ui/#object/sent_email__v/VBL00000000M993", "SE-001390312")</f>
        <v>SE-001390312</v>
      </c>
      <c r="D743" s="4" t="s">
        <v>11</v>
      </c>
      <c r="E743" s="5">
        <v>0</v>
      </c>
      <c r="F743" s="5">
        <v>0</v>
      </c>
      <c r="G743" s="5">
        <v>0</v>
      </c>
      <c r="H743" s="4" t="s">
        <v>11</v>
      </c>
      <c r="I743" s="5">
        <v>0</v>
      </c>
      <c r="J743" s="4">
        <v>45975.644756944443</v>
      </c>
    </row>
    <row r="744" spans="1:10" x14ac:dyDescent="0.2">
      <c r="A744" s="2" t="s">
        <v>10</v>
      </c>
      <c r="B744" s="3" t="str">
        <f t="shared" si="18"/>
        <v>Email instauration Abilify Maintena 960 mg_FR-AM2-2400029</v>
      </c>
      <c r="C744" s="3" t="str">
        <f>HYPERLINK("https://otsuka-europe-crm.veevavault.com/ui/#object/sent_email__v/VBL00000000M994", "SE-001390313")</f>
        <v>SE-001390313</v>
      </c>
      <c r="D744" s="4" t="s">
        <v>11</v>
      </c>
      <c r="E744" s="5">
        <v>0</v>
      </c>
      <c r="F744" s="5">
        <v>0</v>
      </c>
      <c r="G744" s="5">
        <v>0</v>
      </c>
      <c r="H744" s="4" t="s">
        <v>11</v>
      </c>
      <c r="I744" s="5">
        <v>0</v>
      </c>
      <c r="J744" s="4">
        <v>45975.644803240742</v>
      </c>
    </row>
    <row r="745" spans="1:10" x14ac:dyDescent="0.2">
      <c r="A745" s="2" t="s">
        <v>10</v>
      </c>
      <c r="B745" s="3" t="str">
        <f t="shared" si="18"/>
        <v>Email instauration Abilify Maintena 960 mg_FR-AM2-2400029</v>
      </c>
      <c r="C745" s="3" t="str">
        <f>HYPERLINK("https://otsuka-europe-crm.veevavault.com/ui/#object/sent_email__v/VBL00000000M995", "SE-001390314")</f>
        <v>SE-001390314</v>
      </c>
      <c r="D745" s="4" t="s">
        <v>11</v>
      </c>
      <c r="E745" s="5">
        <v>0</v>
      </c>
      <c r="F745" s="5">
        <v>0</v>
      </c>
      <c r="G745" s="5">
        <v>0</v>
      </c>
      <c r="H745" s="4" t="s">
        <v>11</v>
      </c>
      <c r="I745" s="5">
        <v>0</v>
      </c>
      <c r="J745" s="4">
        <v>45975.644837962966</v>
      </c>
    </row>
    <row r="746" spans="1:10" x14ac:dyDescent="0.2">
      <c r="A746" s="2" t="s">
        <v>10</v>
      </c>
      <c r="B746" s="3" t="str">
        <f t="shared" si="18"/>
        <v>Email instauration Abilify Maintena 960 mg_FR-AM2-2400029</v>
      </c>
      <c r="C746" s="3" t="str">
        <f>HYPERLINK("https://otsuka-europe-crm.veevavault.com/ui/#object/sent_email__v/VBL00000000M996", "SE-001390315")</f>
        <v>SE-001390315</v>
      </c>
      <c r="D746" s="4" t="s">
        <v>11</v>
      </c>
      <c r="E746" s="5">
        <v>0</v>
      </c>
      <c r="F746" s="5">
        <v>0</v>
      </c>
      <c r="G746" s="5">
        <v>0</v>
      </c>
      <c r="H746" s="4" t="s">
        <v>11</v>
      </c>
      <c r="I746" s="5">
        <v>0</v>
      </c>
      <c r="J746" s="4">
        <v>45975.644884259258</v>
      </c>
    </row>
    <row r="747" spans="1:10" x14ac:dyDescent="0.2">
      <c r="A747" s="2" t="s">
        <v>10</v>
      </c>
      <c r="B747" s="3" t="str">
        <f t="shared" si="18"/>
        <v>Email instauration Abilify Maintena 960 mg_FR-AM2-2400029</v>
      </c>
      <c r="C747" s="3" t="str">
        <f>HYPERLINK("https://otsuka-europe-crm.veevavault.com/ui/#object/sent_email__v/VBL00000000M997", "SE-001390316")</f>
        <v>SE-001390316</v>
      </c>
      <c r="D747" s="4" t="s">
        <v>11</v>
      </c>
      <c r="E747" s="5">
        <v>0</v>
      </c>
      <c r="F747" s="5">
        <v>0</v>
      </c>
      <c r="G747" s="5">
        <v>0</v>
      </c>
      <c r="H747" s="4" t="s">
        <v>11</v>
      </c>
      <c r="I747" s="5">
        <v>0</v>
      </c>
      <c r="J747" s="4">
        <v>45975.644918981481</v>
      </c>
    </row>
    <row r="748" spans="1:10" x14ac:dyDescent="0.2">
      <c r="A748" s="2" t="s">
        <v>10</v>
      </c>
      <c r="B748" s="3" t="str">
        <f t="shared" si="18"/>
        <v>Email instauration Abilify Maintena 960 mg_FR-AM2-2400029</v>
      </c>
      <c r="C748" s="3" t="str">
        <f>HYPERLINK("https://otsuka-europe-crm.veevavault.com/ui/#object/sent_email__v/VBL00000000M998", "SE-001390317")</f>
        <v>SE-001390317</v>
      </c>
      <c r="D748" s="4" t="s">
        <v>11</v>
      </c>
      <c r="E748" s="5">
        <v>0</v>
      </c>
      <c r="F748" s="5">
        <v>0</v>
      </c>
      <c r="G748" s="5">
        <v>0</v>
      </c>
      <c r="H748" s="4" t="s">
        <v>11</v>
      </c>
      <c r="I748" s="5">
        <v>0</v>
      </c>
      <c r="J748" s="4">
        <v>45975.64503472222</v>
      </c>
    </row>
    <row r="749" spans="1:10" x14ac:dyDescent="0.2">
      <c r="A749" s="2" t="s">
        <v>10</v>
      </c>
      <c r="B749" s="3" t="str">
        <f t="shared" ref="B749:B812" si="19">HYPERLINK("https://otsuka-europe-crm.veevavault.com/ui/#object/approved_document__v/V5OZ025E82N8159", "Email instauration Abilify Maintena 960 mg_FR-AM2-2400029")</f>
        <v>Email instauration Abilify Maintena 960 mg_FR-AM2-2400029</v>
      </c>
      <c r="C749" s="3" t="str">
        <f>HYPERLINK("https://otsuka-europe-crm.veevavault.com/ui/#object/sent_email__v/VBL00000000M999", "SE-001390318")</f>
        <v>SE-001390318</v>
      </c>
      <c r="D749" s="4" t="s">
        <v>11</v>
      </c>
      <c r="E749" s="5">
        <v>0</v>
      </c>
      <c r="F749" s="5">
        <v>0</v>
      </c>
      <c r="G749" s="5">
        <v>0</v>
      </c>
      <c r="H749" s="4" t="s">
        <v>11</v>
      </c>
      <c r="I749" s="5">
        <v>0</v>
      </c>
      <c r="J749" s="4">
        <v>45975.645231481481</v>
      </c>
    </row>
    <row r="750" spans="1:10" x14ac:dyDescent="0.2">
      <c r="A750" s="2" t="s">
        <v>10</v>
      </c>
      <c r="B750" s="3" t="str">
        <f t="shared" si="19"/>
        <v>Email instauration Abilify Maintena 960 mg_FR-AM2-2400029</v>
      </c>
      <c r="C750" s="3" t="str">
        <f>HYPERLINK("https://otsuka-europe-crm.veevavault.com/ui/#object/sent_email__v/VBL00000000O001", "SE-001390319")</f>
        <v>SE-001390319</v>
      </c>
      <c r="D750" s="4" t="s">
        <v>11</v>
      </c>
      <c r="E750" s="5">
        <v>0</v>
      </c>
      <c r="F750" s="5">
        <v>0</v>
      </c>
      <c r="G750" s="5">
        <v>0</v>
      </c>
      <c r="H750" s="4" t="s">
        <v>11</v>
      </c>
      <c r="I750" s="5">
        <v>0</v>
      </c>
      <c r="J750" s="4">
        <v>45975.64508101852</v>
      </c>
    </row>
    <row r="751" spans="1:10" x14ac:dyDescent="0.2">
      <c r="A751" s="2" t="s">
        <v>10</v>
      </c>
      <c r="B751" s="3" t="str">
        <f t="shared" si="19"/>
        <v>Email instauration Abilify Maintena 960 mg_FR-AM2-2400029</v>
      </c>
      <c r="C751" s="3" t="str">
        <f>HYPERLINK("https://otsuka-europe-crm.veevavault.com/ui/#object/sent_email__v/VBL00000000O002", "SE-001390320")</f>
        <v>SE-001390320</v>
      </c>
      <c r="D751" s="4" t="s">
        <v>11</v>
      </c>
      <c r="E751" s="5">
        <v>0</v>
      </c>
      <c r="F751" s="5">
        <v>0</v>
      </c>
      <c r="G751" s="5">
        <v>0</v>
      </c>
      <c r="H751" s="4" t="s">
        <v>11</v>
      </c>
      <c r="I751" s="5">
        <v>0</v>
      </c>
      <c r="J751" s="4">
        <v>45975.645127314812</v>
      </c>
    </row>
    <row r="752" spans="1:10" x14ac:dyDescent="0.2">
      <c r="A752" s="2" t="s">
        <v>10</v>
      </c>
      <c r="B752" s="3" t="str">
        <f t="shared" si="19"/>
        <v>Email instauration Abilify Maintena 960 mg_FR-AM2-2400029</v>
      </c>
      <c r="C752" s="3" t="str">
        <f>HYPERLINK("https://otsuka-europe-crm.veevavault.com/ui/#object/sent_email__v/VBL00000000O003", "SE-001390321")</f>
        <v>SE-001390321</v>
      </c>
      <c r="D752" s="4" t="s">
        <v>11</v>
      </c>
      <c r="E752" s="5">
        <v>0</v>
      </c>
      <c r="F752" s="5">
        <v>0</v>
      </c>
      <c r="G752" s="5">
        <v>0</v>
      </c>
      <c r="H752" s="4" t="s">
        <v>11</v>
      </c>
      <c r="I752" s="5">
        <v>0</v>
      </c>
      <c r="J752" s="4">
        <v>45975.645162037035</v>
      </c>
    </row>
    <row r="753" spans="1:10" x14ac:dyDescent="0.2">
      <c r="A753" s="2" t="s">
        <v>10</v>
      </c>
      <c r="B753" s="3" t="str">
        <f t="shared" si="19"/>
        <v>Email instauration Abilify Maintena 960 mg_FR-AM2-2400029</v>
      </c>
      <c r="C753" s="3" t="str">
        <f>HYPERLINK("https://otsuka-europe-crm.veevavault.com/ui/#object/sent_email__v/VBL00000000O004", "SE-001390322")</f>
        <v>SE-001390322</v>
      </c>
      <c r="D753" s="4" t="s">
        <v>11</v>
      </c>
      <c r="E753" s="5">
        <v>0</v>
      </c>
      <c r="F753" s="5">
        <v>0</v>
      </c>
      <c r="G753" s="5">
        <v>0</v>
      </c>
      <c r="H753" s="4" t="s">
        <v>11</v>
      </c>
      <c r="I753" s="5">
        <v>0</v>
      </c>
      <c r="J753" s="4">
        <v>45975.645208333335</v>
      </c>
    </row>
    <row r="754" spans="1:10" x14ac:dyDescent="0.2">
      <c r="A754" s="2" t="s">
        <v>10</v>
      </c>
      <c r="B754" s="3" t="str">
        <f t="shared" si="19"/>
        <v>Email instauration Abilify Maintena 960 mg_FR-AM2-2400029</v>
      </c>
      <c r="C754" s="3" t="str">
        <f>HYPERLINK("https://otsuka-europe-crm.veevavault.com/ui/#object/sent_email__v/VBL00000000O005", "SE-001390323")</f>
        <v>SE-001390323</v>
      </c>
      <c r="D754" s="4" t="s">
        <v>11</v>
      </c>
      <c r="E754" s="5">
        <v>0</v>
      </c>
      <c r="F754" s="5">
        <v>0</v>
      </c>
      <c r="G754" s="5">
        <v>0</v>
      </c>
      <c r="H754" s="4" t="s">
        <v>11</v>
      </c>
      <c r="I754" s="5">
        <v>0</v>
      </c>
      <c r="J754" s="4">
        <v>45975.645243055558</v>
      </c>
    </row>
    <row r="755" spans="1:10" x14ac:dyDescent="0.2">
      <c r="A755" s="2" t="s">
        <v>10</v>
      </c>
      <c r="B755" s="3" t="str">
        <f t="shared" si="19"/>
        <v>Email instauration Abilify Maintena 960 mg_FR-AM2-2400029</v>
      </c>
      <c r="C755" s="3" t="str">
        <f>HYPERLINK("https://otsuka-europe-crm.veevavault.com/ui/#object/sent_email__v/VBL00000000O006", "SE-001390324")</f>
        <v>SE-001390324</v>
      </c>
      <c r="D755" s="4" t="s">
        <v>11</v>
      </c>
      <c r="E755" s="5">
        <v>0</v>
      </c>
      <c r="F755" s="5">
        <v>0</v>
      </c>
      <c r="G755" s="5">
        <v>0</v>
      </c>
      <c r="H755" s="4" t="s">
        <v>11</v>
      </c>
      <c r="I755" s="5">
        <v>0</v>
      </c>
      <c r="J755" s="4">
        <v>45975.645289351851</v>
      </c>
    </row>
    <row r="756" spans="1:10" x14ac:dyDescent="0.2">
      <c r="A756" s="2" t="s">
        <v>10</v>
      </c>
      <c r="B756" s="3" t="str">
        <f t="shared" si="19"/>
        <v>Email instauration Abilify Maintena 960 mg_FR-AM2-2400029</v>
      </c>
      <c r="C756" s="3" t="str">
        <f>HYPERLINK("https://otsuka-europe-crm.veevavault.com/ui/#object/sent_email__v/VBL00000000O007", "SE-001390325")</f>
        <v>SE-001390325</v>
      </c>
      <c r="D756" s="4" t="s">
        <v>11</v>
      </c>
      <c r="E756" s="5">
        <v>0</v>
      </c>
      <c r="F756" s="5">
        <v>0</v>
      </c>
      <c r="G756" s="5">
        <v>0</v>
      </c>
      <c r="H756" s="4" t="s">
        <v>11</v>
      </c>
      <c r="I756" s="5">
        <v>0</v>
      </c>
      <c r="J756" s="4">
        <v>45975.645335648151</v>
      </c>
    </row>
    <row r="757" spans="1:10" x14ac:dyDescent="0.2">
      <c r="A757" s="2" t="s">
        <v>10</v>
      </c>
      <c r="B757" s="3" t="str">
        <f t="shared" si="19"/>
        <v>Email instauration Abilify Maintena 960 mg_FR-AM2-2400029</v>
      </c>
      <c r="C757" s="3" t="str">
        <f>HYPERLINK("https://otsuka-europe-crm.veevavault.com/ui/#object/sent_email__v/VBL00000000O008", "SE-001390326")</f>
        <v>SE-001390326</v>
      </c>
      <c r="D757" s="4" t="s">
        <v>11</v>
      </c>
      <c r="E757" s="5">
        <v>0</v>
      </c>
      <c r="F757" s="5">
        <v>0</v>
      </c>
      <c r="G757" s="5">
        <v>0</v>
      </c>
      <c r="H757" s="4" t="s">
        <v>11</v>
      </c>
      <c r="I757" s="5">
        <v>0</v>
      </c>
      <c r="J757" s="4">
        <v>45975.645370370374</v>
      </c>
    </row>
    <row r="758" spans="1:10" x14ac:dyDescent="0.2">
      <c r="A758" s="2" t="s">
        <v>10</v>
      </c>
      <c r="B758" s="3" t="str">
        <f t="shared" si="19"/>
        <v>Email instauration Abilify Maintena 960 mg_FR-AM2-2400029</v>
      </c>
      <c r="C758" s="3" t="str">
        <f>HYPERLINK("https://otsuka-europe-crm.veevavault.com/ui/#object/sent_email__v/VBL00000000O009", "SE-001390327")</f>
        <v>SE-001390327</v>
      </c>
      <c r="D758" s="4">
        <v>45981.716562499998</v>
      </c>
      <c r="E758" s="5">
        <v>1</v>
      </c>
      <c r="F758" s="5">
        <v>2</v>
      </c>
      <c r="G758" s="5">
        <v>0</v>
      </c>
      <c r="H758" s="4" t="s">
        <v>11</v>
      </c>
      <c r="I758" s="5">
        <v>0</v>
      </c>
      <c r="J758" s="4">
        <v>45975.645405092589</v>
      </c>
    </row>
    <row r="759" spans="1:10" x14ac:dyDescent="0.2">
      <c r="A759" s="2" t="s">
        <v>10</v>
      </c>
      <c r="B759" s="3" t="str">
        <f t="shared" si="19"/>
        <v>Email instauration Abilify Maintena 960 mg_FR-AM2-2400029</v>
      </c>
      <c r="C759" s="3" t="str">
        <f>HYPERLINK("https://otsuka-europe-crm.veevavault.com/ui/#object/sent_email__v/VBL00000000O010", "SE-001390328")</f>
        <v>SE-001390328</v>
      </c>
      <c r="D759" s="4" t="s">
        <v>11</v>
      </c>
      <c r="E759" s="5">
        <v>0</v>
      </c>
      <c r="F759" s="5">
        <v>0</v>
      </c>
      <c r="G759" s="5">
        <v>0</v>
      </c>
      <c r="H759" s="4" t="s">
        <v>11</v>
      </c>
      <c r="I759" s="5">
        <v>0</v>
      </c>
      <c r="J759" s="4">
        <v>45975.645439814813</v>
      </c>
    </row>
    <row r="760" spans="1:10" x14ac:dyDescent="0.2">
      <c r="A760" s="2" t="s">
        <v>10</v>
      </c>
      <c r="B760" s="3" t="str">
        <f t="shared" si="19"/>
        <v>Email instauration Abilify Maintena 960 mg_FR-AM2-2400029</v>
      </c>
      <c r="C760" s="3" t="str">
        <f>HYPERLINK("https://otsuka-europe-crm.veevavault.com/ui/#object/sent_email__v/VBL00000000O011", "SE-001390329")</f>
        <v>SE-001390329</v>
      </c>
      <c r="D760" s="4">
        <v>45976.520127314812</v>
      </c>
      <c r="E760" s="5">
        <v>1</v>
      </c>
      <c r="F760" s="5">
        <v>2</v>
      </c>
      <c r="G760" s="5">
        <v>0</v>
      </c>
      <c r="H760" s="4" t="s">
        <v>11</v>
      </c>
      <c r="I760" s="5">
        <v>0</v>
      </c>
      <c r="J760" s="4">
        <v>45975.645486111112</v>
      </c>
    </row>
    <row r="761" spans="1:10" x14ac:dyDescent="0.2">
      <c r="A761" s="2" t="s">
        <v>10</v>
      </c>
      <c r="B761" s="3" t="str">
        <f t="shared" si="19"/>
        <v>Email instauration Abilify Maintena 960 mg_FR-AM2-2400029</v>
      </c>
      <c r="C761" s="3" t="str">
        <f>HYPERLINK("https://otsuka-europe-crm.veevavault.com/ui/#object/sent_email__v/VBL00000000O012", "SE-001390330")</f>
        <v>SE-001390330</v>
      </c>
      <c r="D761" s="4">
        <v>45976.053935185184</v>
      </c>
      <c r="E761" s="5">
        <v>1</v>
      </c>
      <c r="F761" s="5">
        <v>1</v>
      </c>
      <c r="G761" s="5">
        <v>0</v>
      </c>
      <c r="H761" s="4" t="s">
        <v>11</v>
      </c>
      <c r="I761" s="5">
        <v>0</v>
      </c>
      <c r="J761" s="4">
        <v>45975.645520833335</v>
      </c>
    </row>
    <row r="762" spans="1:10" x14ac:dyDescent="0.2">
      <c r="A762" s="2" t="s">
        <v>10</v>
      </c>
      <c r="B762" s="3" t="str">
        <f t="shared" si="19"/>
        <v>Email instauration Abilify Maintena 960 mg_FR-AM2-2400029</v>
      </c>
      <c r="C762" s="3" t="str">
        <f>HYPERLINK("https://otsuka-europe-crm.veevavault.com/ui/#object/sent_email__v/VBL00000000O013", "SE-001390331")</f>
        <v>SE-001390331</v>
      </c>
      <c r="D762" s="4" t="s">
        <v>11</v>
      </c>
      <c r="E762" s="5">
        <v>0</v>
      </c>
      <c r="F762" s="5">
        <v>0</v>
      </c>
      <c r="G762" s="5">
        <v>0</v>
      </c>
      <c r="H762" s="4" t="s">
        <v>11</v>
      </c>
      <c r="I762" s="5">
        <v>0</v>
      </c>
      <c r="J762" s="4">
        <v>45975.645567129628</v>
      </c>
    </row>
    <row r="763" spans="1:10" x14ac:dyDescent="0.2">
      <c r="A763" s="2" t="s">
        <v>10</v>
      </c>
      <c r="B763" s="3" t="str">
        <f t="shared" si="19"/>
        <v>Email instauration Abilify Maintena 960 mg_FR-AM2-2400029</v>
      </c>
      <c r="C763" s="3" t="str">
        <f>HYPERLINK("https://otsuka-europe-crm.veevavault.com/ui/#object/sent_email__v/VBL00000000O014", "SE-001390332")</f>
        <v>SE-001390332</v>
      </c>
      <c r="D763" s="4" t="s">
        <v>11</v>
      </c>
      <c r="E763" s="5">
        <v>0</v>
      </c>
      <c r="F763" s="5">
        <v>0</v>
      </c>
      <c r="G763" s="5">
        <v>0</v>
      </c>
      <c r="H763" s="4" t="s">
        <v>11</v>
      </c>
      <c r="I763" s="5">
        <v>0</v>
      </c>
      <c r="J763" s="4">
        <v>45975.645601851851</v>
      </c>
    </row>
    <row r="764" spans="1:10" x14ac:dyDescent="0.2">
      <c r="A764" s="2" t="s">
        <v>10</v>
      </c>
      <c r="B764" s="3" t="str">
        <f t="shared" si="19"/>
        <v>Email instauration Abilify Maintena 960 mg_FR-AM2-2400029</v>
      </c>
      <c r="C764" s="3" t="str">
        <f>HYPERLINK("https://otsuka-europe-crm.veevavault.com/ui/#object/sent_email__v/VBL00000000O015", "SE-001390333")</f>
        <v>SE-001390333</v>
      </c>
      <c r="D764" s="4" t="s">
        <v>11</v>
      </c>
      <c r="E764" s="5">
        <v>0</v>
      </c>
      <c r="F764" s="5">
        <v>0</v>
      </c>
      <c r="G764" s="5">
        <v>0</v>
      </c>
      <c r="H764" s="4" t="s">
        <v>11</v>
      </c>
      <c r="I764" s="5">
        <v>0</v>
      </c>
      <c r="J764" s="4">
        <v>45975.645648148151</v>
      </c>
    </row>
    <row r="765" spans="1:10" x14ac:dyDescent="0.2">
      <c r="A765" s="2" t="s">
        <v>10</v>
      </c>
      <c r="B765" s="3" t="str">
        <f t="shared" si="19"/>
        <v>Email instauration Abilify Maintena 960 mg_FR-AM2-2400029</v>
      </c>
      <c r="C765" s="3" t="str">
        <f>HYPERLINK("https://otsuka-europe-crm.veevavault.com/ui/#object/sent_email__v/VBL00000000O016", "SE-001390334")</f>
        <v>SE-001390334</v>
      </c>
      <c r="D765" s="4" t="s">
        <v>11</v>
      </c>
      <c r="E765" s="5">
        <v>0</v>
      </c>
      <c r="F765" s="5">
        <v>0</v>
      </c>
      <c r="G765" s="5">
        <v>0</v>
      </c>
      <c r="H765" s="4" t="s">
        <v>11</v>
      </c>
      <c r="I765" s="5">
        <v>0</v>
      </c>
      <c r="J765" s="4">
        <v>45975.645682870374</v>
      </c>
    </row>
    <row r="766" spans="1:10" x14ac:dyDescent="0.2">
      <c r="A766" s="2" t="s">
        <v>10</v>
      </c>
      <c r="B766" s="3" t="str">
        <f t="shared" si="19"/>
        <v>Email instauration Abilify Maintena 960 mg_FR-AM2-2400029</v>
      </c>
      <c r="C766" s="3" t="str">
        <f>HYPERLINK("https://otsuka-europe-crm.veevavault.com/ui/#object/sent_email__v/VBL00000000O017", "SE-001390335")</f>
        <v>SE-001390335</v>
      </c>
      <c r="D766" s="4">
        <v>45976.00990740741</v>
      </c>
      <c r="E766" s="5">
        <v>1</v>
      </c>
      <c r="F766" s="5">
        <v>1</v>
      </c>
      <c r="G766" s="5">
        <v>0</v>
      </c>
      <c r="H766" s="4" t="s">
        <v>11</v>
      </c>
      <c r="I766" s="5">
        <v>0</v>
      </c>
      <c r="J766" s="4">
        <v>45975.645729166667</v>
      </c>
    </row>
    <row r="767" spans="1:10" x14ac:dyDescent="0.2">
      <c r="A767" s="2" t="s">
        <v>10</v>
      </c>
      <c r="B767" s="3" t="str">
        <f t="shared" si="19"/>
        <v>Email instauration Abilify Maintena 960 mg_FR-AM2-2400029</v>
      </c>
      <c r="C767" s="3" t="str">
        <f>HYPERLINK("https://otsuka-europe-crm.veevavault.com/ui/#object/sent_email__v/VBL00000000O018", "SE-001390336")</f>
        <v>SE-001390336</v>
      </c>
      <c r="D767" s="4" t="s">
        <v>11</v>
      </c>
      <c r="E767" s="5">
        <v>0</v>
      </c>
      <c r="F767" s="5">
        <v>0</v>
      </c>
      <c r="G767" s="5">
        <v>0</v>
      </c>
      <c r="H767" s="4" t="s">
        <v>11</v>
      </c>
      <c r="I767" s="5">
        <v>0</v>
      </c>
      <c r="J767" s="4">
        <v>45975.64576388889</v>
      </c>
    </row>
    <row r="768" spans="1:10" x14ac:dyDescent="0.2">
      <c r="A768" s="2" t="s">
        <v>10</v>
      </c>
      <c r="B768" s="3" t="str">
        <f t="shared" si="19"/>
        <v>Email instauration Abilify Maintena 960 mg_FR-AM2-2400029</v>
      </c>
      <c r="C768" s="3" t="str">
        <f>HYPERLINK("https://otsuka-europe-crm.veevavault.com/ui/#object/sent_email__v/VBL00000000O019", "SE-001390337")</f>
        <v>SE-001390337</v>
      </c>
      <c r="D768" s="4" t="s">
        <v>11</v>
      </c>
      <c r="E768" s="5">
        <v>0</v>
      </c>
      <c r="F768" s="5">
        <v>0</v>
      </c>
      <c r="G768" s="5">
        <v>0</v>
      </c>
      <c r="H768" s="4" t="s">
        <v>11</v>
      </c>
      <c r="I768" s="5">
        <v>0</v>
      </c>
      <c r="J768" s="4">
        <v>45975.645798611113</v>
      </c>
    </row>
    <row r="769" spans="1:10" x14ac:dyDescent="0.2">
      <c r="A769" s="2" t="s">
        <v>10</v>
      </c>
      <c r="B769" s="3" t="str">
        <f t="shared" si="19"/>
        <v>Email instauration Abilify Maintena 960 mg_FR-AM2-2400029</v>
      </c>
      <c r="C769" s="3" t="str">
        <f>HYPERLINK("https://otsuka-europe-crm.veevavault.com/ui/#object/sent_email__v/VBL00000000O020", "SE-001390338")</f>
        <v>SE-001390338</v>
      </c>
      <c r="D769" s="4" t="s">
        <v>11</v>
      </c>
      <c r="E769" s="5">
        <v>0</v>
      </c>
      <c r="F769" s="5">
        <v>0</v>
      </c>
      <c r="G769" s="5">
        <v>0</v>
      </c>
      <c r="H769" s="4" t="s">
        <v>11</v>
      </c>
      <c r="I769" s="5">
        <v>0</v>
      </c>
      <c r="J769" s="4">
        <v>45975.645856481482</v>
      </c>
    </row>
    <row r="770" spans="1:10" x14ac:dyDescent="0.2">
      <c r="A770" s="2" t="s">
        <v>10</v>
      </c>
      <c r="B770" s="3" t="str">
        <f t="shared" si="19"/>
        <v>Email instauration Abilify Maintena 960 mg_FR-AM2-2400029</v>
      </c>
      <c r="C770" s="3" t="str">
        <f>HYPERLINK("https://otsuka-europe-crm.veevavault.com/ui/#object/sent_email__v/VBL00000000O021", "SE-001390339")</f>
        <v>SE-001390339</v>
      </c>
      <c r="D770" s="4" t="s">
        <v>11</v>
      </c>
      <c r="E770" s="5">
        <v>0</v>
      </c>
      <c r="F770" s="5">
        <v>0</v>
      </c>
      <c r="G770" s="5">
        <v>0</v>
      </c>
      <c r="H770" s="4" t="s">
        <v>11</v>
      </c>
      <c r="I770" s="5">
        <v>0</v>
      </c>
      <c r="J770" s="4">
        <v>45975.645891203705</v>
      </c>
    </row>
    <row r="771" spans="1:10" x14ac:dyDescent="0.2">
      <c r="A771" s="2" t="s">
        <v>10</v>
      </c>
      <c r="B771" s="3" t="str">
        <f t="shared" si="19"/>
        <v>Email instauration Abilify Maintena 960 mg_FR-AM2-2400029</v>
      </c>
      <c r="C771" s="3" t="str">
        <f>HYPERLINK("https://otsuka-europe-crm.veevavault.com/ui/#object/sent_email__v/VBL00000000O022", "SE-001390340")</f>
        <v>SE-001390340</v>
      </c>
      <c r="D771" s="4">
        <v>45975.737291666665</v>
      </c>
      <c r="E771" s="5">
        <v>1</v>
      </c>
      <c r="F771" s="5">
        <v>1</v>
      </c>
      <c r="G771" s="5">
        <v>0</v>
      </c>
      <c r="H771" s="4" t="s">
        <v>11</v>
      </c>
      <c r="I771" s="5">
        <v>0</v>
      </c>
      <c r="J771" s="4">
        <v>45975.645925925928</v>
      </c>
    </row>
    <row r="772" spans="1:10" x14ac:dyDescent="0.2">
      <c r="A772" s="2" t="s">
        <v>10</v>
      </c>
      <c r="B772" s="3" t="str">
        <f t="shared" si="19"/>
        <v>Email instauration Abilify Maintena 960 mg_FR-AM2-2400029</v>
      </c>
      <c r="C772" s="3" t="str">
        <f>HYPERLINK("https://otsuka-europe-crm.veevavault.com/ui/#object/sent_email__v/VBL00000000O023", "SE-001390341")</f>
        <v>SE-001390341</v>
      </c>
      <c r="D772" s="4" t="s">
        <v>11</v>
      </c>
      <c r="E772" s="5">
        <v>0</v>
      </c>
      <c r="F772" s="5">
        <v>0</v>
      </c>
      <c r="G772" s="5">
        <v>0</v>
      </c>
      <c r="H772" s="4" t="s">
        <v>11</v>
      </c>
      <c r="I772" s="5">
        <v>0</v>
      </c>
      <c r="J772" s="4">
        <v>45975.645972222221</v>
      </c>
    </row>
    <row r="773" spans="1:10" x14ac:dyDescent="0.2">
      <c r="A773" s="2" t="s">
        <v>10</v>
      </c>
      <c r="B773" s="3" t="str">
        <f t="shared" si="19"/>
        <v>Email instauration Abilify Maintena 960 mg_FR-AM2-2400029</v>
      </c>
      <c r="C773" s="3" t="str">
        <f>HYPERLINK("https://otsuka-europe-crm.veevavault.com/ui/#object/sent_email__v/VBL00000000O024", "SE-001390342")</f>
        <v>SE-001390342</v>
      </c>
      <c r="D773" s="4" t="s">
        <v>11</v>
      </c>
      <c r="E773" s="5">
        <v>0</v>
      </c>
      <c r="F773" s="5">
        <v>0</v>
      </c>
      <c r="G773" s="5">
        <v>0</v>
      </c>
      <c r="H773" s="4" t="s">
        <v>11</v>
      </c>
      <c r="I773" s="5">
        <v>0</v>
      </c>
      <c r="J773" s="4">
        <v>45975.646006944444</v>
      </c>
    </row>
    <row r="774" spans="1:10" x14ac:dyDescent="0.2">
      <c r="A774" s="2" t="s">
        <v>10</v>
      </c>
      <c r="B774" s="3" t="str">
        <f t="shared" si="19"/>
        <v>Email instauration Abilify Maintena 960 mg_FR-AM2-2400029</v>
      </c>
      <c r="C774" s="3" t="str">
        <f>HYPERLINK("https://otsuka-europe-crm.veevavault.com/ui/#object/sent_email__v/VBL00000000O025", "SE-001390343")</f>
        <v>SE-001390343</v>
      </c>
      <c r="D774" s="4" t="s">
        <v>11</v>
      </c>
      <c r="E774" s="5">
        <v>0</v>
      </c>
      <c r="F774" s="5">
        <v>0</v>
      </c>
      <c r="G774" s="5">
        <v>0</v>
      </c>
      <c r="H774" s="4" t="s">
        <v>11</v>
      </c>
      <c r="I774" s="5">
        <v>0</v>
      </c>
      <c r="J774" s="4">
        <v>45975.646053240744</v>
      </c>
    </row>
    <row r="775" spans="1:10" x14ac:dyDescent="0.2">
      <c r="A775" s="2" t="s">
        <v>10</v>
      </c>
      <c r="B775" s="3" t="str">
        <f t="shared" si="19"/>
        <v>Email instauration Abilify Maintena 960 mg_FR-AM2-2400029</v>
      </c>
      <c r="C775" s="3" t="str">
        <f>HYPERLINK("https://otsuka-europe-crm.veevavault.com/ui/#object/sent_email__v/VBL00000000O026", "SE-001390344")</f>
        <v>SE-001390344</v>
      </c>
      <c r="D775" s="4" t="s">
        <v>11</v>
      </c>
      <c r="E775" s="5">
        <v>0</v>
      </c>
      <c r="F775" s="5">
        <v>0</v>
      </c>
      <c r="G775" s="5">
        <v>0</v>
      </c>
      <c r="H775" s="4" t="s">
        <v>11</v>
      </c>
      <c r="I775" s="5">
        <v>0</v>
      </c>
      <c r="J775" s="4">
        <v>45975.646099537036</v>
      </c>
    </row>
    <row r="776" spans="1:10" x14ac:dyDescent="0.2">
      <c r="A776" s="2" t="s">
        <v>10</v>
      </c>
      <c r="B776" s="3" t="str">
        <f t="shared" si="19"/>
        <v>Email instauration Abilify Maintena 960 mg_FR-AM2-2400029</v>
      </c>
      <c r="C776" s="3" t="str">
        <f>HYPERLINK("https://otsuka-europe-crm.veevavault.com/ui/#object/sent_email__v/VBL00000000O027", "SE-001390345")</f>
        <v>SE-001390345</v>
      </c>
      <c r="D776" s="4">
        <v>45978.409675925926</v>
      </c>
      <c r="E776" s="5">
        <v>1</v>
      </c>
      <c r="F776" s="5">
        <v>1</v>
      </c>
      <c r="G776" s="5">
        <v>0</v>
      </c>
      <c r="H776" s="4" t="s">
        <v>11</v>
      </c>
      <c r="I776" s="5">
        <v>0</v>
      </c>
      <c r="J776" s="4">
        <v>45975.646122685182</v>
      </c>
    </row>
    <row r="777" spans="1:10" x14ac:dyDescent="0.2">
      <c r="A777" s="2" t="s">
        <v>10</v>
      </c>
      <c r="B777" s="3" t="str">
        <f t="shared" si="19"/>
        <v>Email instauration Abilify Maintena 960 mg_FR-AM2-2400029</v>
      </c>
      <c r="C777" s="3" t="str">
        <f>HYPERLINK("https://otsuka-europe-crm.veevavault.com/ui/#object/sent_email__v/VBL00000000O028", "SE-001390346")</f>
        <v>SE-001390346</v>
      </c>
      <c r="D777" s="4" t="s">
        <v>11</v>
      </c>
      <c r="E777" s="5">
        <v>0</v>
      </c>
      <c r="F777" s="5">
        <v>0</v>
      </c>
      <c r="G777" s="5">
        <v>0</v>
      </c>
      <c r="H777" s="4" t="s">
        <v>11</v>
      </c>
      <c r="I777" s="5">
        <v>0</v>
      </c>
      <c r="J777" s="4">
        <v>45975.646168981482</v>
      </c>
    </row>
    <row r="778" spans="1:10" x14ac:dyDescent="0.2">
      <c r="A778" s="2" t="s">
        <v>10</v>
      </c>
      <c r="B778" s="3" t="str">
        <f t="shared" si="19"/>
        <v>Email instauration Abilify Maintena 960 mg_FR-AM2-2400029</v>
      </c>
      <c r="C778" s="3" t="str">
        <f>HYPERLINK("https://otsuka-europe-crm.veevavault.com/ui/#object/sent_email__v/VBL00000000O029", "SE-001390347")</f>
        <v>SE-001390347</v>
      </c>
      <c r="D778" s="4">
        <v>46031.74150462963</v>
      </c>
      <c r="E778" s="5">
        <v>1</v>
      </c>
      <c r="F778" s="5">
        <v>3</v>
      </c>
      <c r="G778" s="5">
        <v>0</v>
      </c>
      <c r="H778" s="4" t="s">
        <v>11</v>
      </c>
      <c r="I778" s="5">
        <v>0</v>
      </c>
      <c r="J778" s="4">
        <v>45975.646215277775</v>
      </c>
    </row>
    <row r="779" spans="1:10" x14ac:dyDescent="0.2">
      <c r="A779" s="2" t="s">
        <v>10</v>
      </c>
      <c r="B779" s="3" t="str">
        <f t="shared" si="19"/>
        <v>Email instauration Abilify Maintena 960 mg_FR-AM2-2400029</v>
      </c>
      <c r="C779" s="3" t="str">
        <f>HYPERLINK("https://otsuka-europe-crm.veevavault.com/ui/#object/sent_email__v/VBL00000000O030", "SE-001390348")</f>
        <v>SE-001390348</v>
      </c>
      <c r="D779" s="4">
        <v>45976.359537037039</v>
      </c>
      <c r="E779" s="5">
        <v>1</v>
      </c>
      <c r="F779" s="5">
        <v>1</v>
      </c>
      <c r="G779" s="5">
        <v>0</v>
      </c>
      <c r="H779" s="4" t="s">
        <v>11</v>
      </c>
      <c r="I779" s="5">
        <v>0</v>
      </c>
      <c r="J779" s="4">
        <v>45975.646249999998</v>
      </c>
    </row>
    <row r="780" spans="1:10" x14ac:dyDescent="0.2">
      <c r="A780" s="2" t="s">
        <v>10</v>
      </c>
      <c r="B780" s="3" t="str">
        <f t="shared" si="19"/>
        <v>Email instauration Abilify Maintena 960 mg_FR-AM2-2400029</v>
      </c>
      <c r="C780" s="3" t="str">
        <f>HYPERLINK("https://otsuka-europe-crm.veevavault.com/ui/#object/sent_email__v/VBL00000000O031", "SE-001390349")</f>
        <v>SE-001390349</v>
      </c>
      <c r="D780" s="4" t="s">
        <v>11</v>
      </c>
      <c r="E780" s="5">
        <v>0</v>
      </c>
      <c r="F780" s="5">
        <v>0</v>
      </c>
      <c r="G780" s="5">
        <v>0</v>
      </c>
      <c r="H780" s="4" t="s">
        <v>11</v>
      </c>
      <c r="I780" s="5">
        <v>0</v>
      </c>
      <c r="J780" s="4">
        <v>45975.646284722221</v>
      </c>
    </row>
    <row r="781" spans="1:10" x14ac:dyDescent="0.2">
      <c r="A781" s="2" t="s">
        <v>10</v>
      </c>
      <c r="B781" s="3" t="str">
        <f t="shared" si="19"/>
        <v>Email instauration Abilify Maintena 960 mg_FR-AM2-2400029</v>
      </c>
      <c r="C781" s="3" t="str">
        <f>HYPERLINK("https://otsuka-europe-crm.veevavault.com/ui/#object/sent_email__v/VBL00000000O032", "SE-001390350")</f>
        <v>SE-001390350</v>
      </c>
      <c r="D781" s="4" t="s">
        <v>11</v>
      </c>
      <c r="E781" s="5">
        <v>0</v>
      </c>
      <c r="F781" s="5">
        <v>0</v>
      </c>
      <c r="G781" s="5">
        <v>0</v>
      </c>
      <c r="H781" s="4" t="s">
        <v>11</v>
      </c>
      <c r="I781" s="5">
        <v>0</v>
      </c>
      <c r="J781" s="4">
        <v>45975.646331018521</v>
      </c>
    </row>
    <row r="782" spans="1:10" x14ac:dyDescent="0.2">
      <c r="A782" s="2" t="s">
        <v>10</v>
      </c>
      <c r="B782" s="3" t="str">
        <f t="shared" si="19"/>
        <v>Email instauration Abilify Maintena 960 mg_FR-AM2-2400029</v>
      </c>
      <c r="C782" s="3" t="str">
        <f>HYPERLINK("https://otsuka-europe-crm.veevavault.com/ui/#object/sent_email__v/VBL00000000O033", "SE-001390351")</f>
        <v>SE-001390351</v>
      </c>
      <c r="D782" s="4" t="s">
        <v>11</v>
      </c>
      <c r="E782" s="5">
        <v>0</v>
      </c>
      <c r="F782" s="5">
        <v>0</v>
      </c>
      <c r="G782" s="5">
        <v>0</v>
      </c>
      <c r="H782" s="4" t="s">
        <v>11</v>
      </c>
      <c r="I782" s="5">
        <v>0</v>
      </c>
      <c r="J782" s="4">
        <v>45975.646377314813</v>
      </c>
    </row>
    <row r="783" spans="1:10" x14ac:dyDescent="0.2">
      <c r="A783" s="2" t="s">
        <v>10</v>
      </c>
      <c r="B783" s="3" t="str">
        <f t="shared" si="19"/>
        <v>Email instauration Abilify Maintena 960 mg_FR-AM2-2400029</v>
      </c>
      <c r="C783" s="3" t="str">
        <f>HYPERLINK("https://otsuka-europe-crm.veevavault.com/ui/#object/sent_email__v/VBL00000000O034", "SE-001390352")</f>
        <v>SE-001390352</v>
      </c>
      <c r="D783" s="4">
        <v>45975.646979166668</v>
      </c>
      <c r="E783" s="5">
        <v>1</v>
      </c>
      <c r="F783" s="5">
        <v>1</v>
      </c>
      <c r="G783" s="5">
        <v>0</v>
      </c>
      <c r="H783" s="4" t="s">
        <v>11</v>
      </c>
      <c r="I783" s="5">
        <v>0</v>
      </c>
      <c r="J783" s="4">
        <v>45975.646412037036</v>
      </c>
    </row>
    <row r="784" spans="1:10" x14ac:dyDescent="0.2">
      <c r="A784" s="2" t="s">
        <v>10</v>
      </c>
      <c r="B784" s="3" t="str">
        <f t="shared" si="19"/>
        <v>Email instauration Abilify Maintena 960 mg_FR-AM2-2400029</v>
      </c>
      <c r="C784" s="3" t="str">
        <f>HYPERLINK("https://otsuka-europe-crm.veevavault.com/ui/#object/sent_email__v/VBL00000000O035", "SE-001390353")</f>
        <v>SE-001390353</v>
      </c>
      <c r="D784" s="4">
        <v>45977.829641203702</v>
      </c>
      <c r="E784" s="5">
        <v>1</v>
      </c>
      <c r="F784" s="5">
        <v>1</v>
      </c>
      <c r="G784" s="5">
        <v>0</v>
      </c>
      <c r="H784" s="4" t="s">
        <v>11</v>
      </c>
      <c r="I784" s="5">
        <v>0</v>
      </c>
      <c r="J784" s="4">
        <v>45975.646458333336</v>
      </c>
    </row>
    <row r="785" spans="1:10" x14ac:dyDescent="0.2">
      <c r="A785" s="2" t="s">
        <v>10</v>
      </c>
      <c r="B785" s="3" t="str">
        <f t="shared" si="19"/>
        <v>Email instauration Abilify Maintena 960 mg_FR-AM2-2400029</v>
      </c>
      <c r="C785" s="3" t="str">
        <f>HYPERLINK("https://otsuka-europe-crm.veevavault.com/ui/#object/sent_email__v/VBL00000000O036", "SE-001390354")</f>
        <v>SE-001390354</v>
      </c>
      <c r="D785" s="4" t="s">
        <v>11</v>
      </c>
      <c r="E785" s="5">
        <v>0</v>
      </c>
      <c r="F785" s="5">
        <v>0</v>
      </c>
      <c r="G785" s="5">
        <v>0</v>
      </c>
      <c r="H785" s="4" t="s">
        <v>11</v>
      </c>
      <c r="I785" s="5">
        <v>0</v>
      </c>
      <c r="J785" s="4">
        <v>45975.646493055552</v>
      </c>
    </row>
    <row r="786" spans="1:10" x14ac:dyDescent="0.2">
      <c r="A786" s="2" t="s">
        <v>10</v>
      </c>
      <c r="B786" s="3" t="str">
        <f t="shared" si="19"/>
        <v>Email instauration Abilify Maintena 960 mg_FR-AM2-2400029</v>
      </c>
      <c r="C786" s="3" t="str">
        <f>HYPERLINK("https://otsuka-europe-crm.veevavault.com/ui/#object/sent_email__v/VBL00000000O037", "SE-001390355")</f>
        <v>SE-001390355</v>
      </c>
      <c r="D786" s="4">
        <v>45975.65084490741</v>
      </c>
      <c r="E786" s="5">
        <v>1</v>
      </c>
      <c r="F786" s="5">
        <v>1</v>
      </c>
      <c r="G786" s="5">
        <v>0</v>
      </c>
      <c r="H786" s="4" t="s">
        <v>11</v>
      </c>
      <c r="I786" s="5">
        <v>0</v>
      </c>
      <c r="J786" s="4">
        <v>45975.646539351852</v>
      </c>
    </row>
    <row r="787" spans="1:10" x14ac:dyDescent="0.2">
      <c r="A787" s="2" t="s">
        <v>10</v>
      </c>
      <c r="B787" s="3" t="str">
        <f t="shared" si="19"/>
        <v>Email instauration Abilify Maintena 960 mg_FR-AM2-2400029</v>
      </c>
      <c r="C787" s="3" t="str">
        <f>HYPERLINK("https://otsuka-europe-crm.veevavault.com/ui/#object/sent_email__v/VBL00000000O038", "SE-001390356")</f>
        <v>SE-001390356</v>
      </c>
      <c r="D787" s="4" t="s">
        <v>11</v>
      </c>
      <c r="E787" s="5">
        <v>0</v>
      </c>
      <c r="F787" s="5">
        <v>0</v>
      </c>
      <c r="G787" s="5">
        <v>0</v>
      </c>
      <c r="H787" s="4" t="s">
        <v>11</v>
      </c>
      <c r="I787" s="5">
        <v>0</v>
      </c>
      <c r="J787" s="4">
        <v>45975.646585648145</v>
      </c>
    </row>
    <row r="788" spans="1:10" x14ac:dyDescent="0.2">
      <c r="A788" s="2" t="s">
        <v>10</v>
      </c>
      <c r="B788" s="3" t="str">
        <f t="shared" si="19"/>
        <v>Email instauration Abilify Maintena 960 mg_FR-AM2-2400029</v>
      </c>
      <c r="C788" s="3" t="str">
        <f>HYPERLINK("https://otsuka-europe-crm.veevavault.com/ui/#object/sent_email__v/VBL00000000O039", "SE-001390357")</f>
        <v>SE-001390357</v>
      </c>
      <c r="D788" s="4" t="s">
        <v>11</v>
      </c>
      <c r="E788" s="5">
        <v>0</v>
      </c>
      <c r="F788" s="5">
        <v>0</v>
      </c>
      <c r="G788" s="5">
        <v>0</v>
      </c>
      <c r="H788" s="4" t="s">
        <v>11</v>
      </c>
      <c r="I788" s="5">
        <v>0</v>
      </c>
      <c r="J788" s="4">
        <v>45975.646620370368</v>
      </c>
    </row>
    <row r="789" spans="1:10" x14ac:dyDescent="0.2">
      <c r="A789" s="2" t="s">
        <v>10</v>
      </c>
      <c r="B789" s="3" t="str">
        <f t="shared" si="19"/>
        <v>Email instauration Abilify Maintena 960 mg_FR-AM2-2400029</v>
      </c>
      <c r="C789" s="3" t="str">
        <f>HYPERLINK("https://otsuka-europe-crm.veevavault.com/ui/#object/sent_email__v/VBL00000000O040", "SE-001390358")</f>
        <v>SE-001390358</v>
      </c>
      <c r="D789" s="4" t="s">
        <v>11</v>
      </c>
      <c r="E789" s="5">
        <v>0</v>
      </c>
      <c r="F789" s="5">
        <v>0</v>
      </c>
      <c r="G789" s="5">
        <v>0</v>
      </c>
      <c r="H789" s="4" t="s">
        <v>11</v>
      </c>
      <c r="I789" s="5">
        <v>0</v>
      </c>
      <c r="J789" s="4">
        <v>45975.646655092591</v>
      </c>
    </row>
    <row r="790" spans="1:10" x14ac:dyDescent="0.2">
      <c r="A790" s="2" t="s">
        <v>10</v>
      </c>
      <c r="B790" s="3" t="str">
        <f t="shared" si="19"/>
        <v>Email instauration Abilify Maintena 960 mg_FR-AM2-2400029</v>
      </c>
      <c r="C790" s="3" t="str">
        <f>HYPERLINK("https://otsuka-europe-crm.veevavault.com/ui/#object/sent_email__v/VBL00000000O041", "SE-001390359")</f>
        <v>SE-001390359</v>
      </c>
      <c r="D790" s="4" t="s">
        <v>11</v>
      </c>
      <c r="E790" s="5">
        <v>0</v>
      </c>
      <c r="F790" s="5">
        <v>0</v>
      </c>
      <c r="G790" s="5">
        <v>0</v>
      </c>
      <c r="H790" s="4" t="s">
        <v>11</v>
      </c>
      <c r="I790" s="5">
        <v>0</v>
      </c>
      <c r="J790" s="4">
        <v>45975.646701388891</v>
      </c>
    </row>
    <row r="791" spans="1:10" x14ac:dyDescent="0.2">
      <c r="A791" s="2" t="s">
        <v>10</v>
      </c>
      <c r="B791" s="3" t="str">
        <f t="shared" si="19"/>
        <v>Email instauration Abilify Maintena 960 mg_FR-AM2-2400029</v>
      </c>
      <c r="C791" s="3" t="str">
        <f>HYPERLINK("https://otsuka-europe-crm.veevavault.com/ui/#object/sent_email__v/VBL00000000O042", "SE-001390360")</f>
        <v>SE-001390360</v>
      </c>
      <c r="D791" s="4" t="s">
        <v>11</v>
      </c>
      <c r="E791" s="5">
        <v>0</v>
      </c>
      <c r="F791" s="5">
        <v>0</v>
      </c>
      <c r="G791" s="5">
        <v>0</v>
      </c>
      <c r="H791" s="4" t="s">
        <v>11</v>
      </c>
      <c r="I791" s="5">
        <v>0</v>
      </c>
      <c r="J791" s="4">
        <v>45975.646747685183</v>
      </c>
    </row>
    <row r="792" spans="1:10" x14ac:dyDescent="0.2">
      <c r="A792" s="2" t="s">
        <v>10</v>
      </c>
      <c r="B792" s="3" t="str">
        <f t="shared" si="19"/>
        <v>Email instauration Abilify Maintena 960 mg_FR-AM2-2400029</v>
      </c>
      <c r="C792" s="3" t="str">
        <f>HYPERLINK("https://otsuka-europe-crm.veevavault.com/ui/#object/sent_email__v/VBL00000000O043", "SE-001390361")</f>
        <v>SE-001390361</v>
      </c>
      <c r="D792" s="4">
        <v>46014.648078703707</v>
      </c>
      <c r="E792" s="5">
        <v>1</v>
      </c>
      <c r="F792" s="5">
        <v>3</v>
      </c>
      <c r="G792" s="5">
        <v>0</v>
      </c>
      <c r="H792" s="4" t="s">
        <v>11</v>
      </c>
      <c r="I792" s="5">
        <v>0</v>
      </c>
      <c r="J792" s="4">
        <v>45975.646793981483</v>
      </c>
    </row>
    <row r="793" spans="1:10" x14ac:dyDescent="0.2">
      <c r="A793" s="2" t="s">
        <v>10</v>
      </c>
      <c r="B793" s="3" t="str">
        <f t="shared" si="19"/>
        <v>Email instauration Abilify Maintena 960 mg_FR-AM2-2400029</v>
      </c>
      <c r="C793" s="3" t="str">
        <f>HYPERLINK("https://otsuka-europe-crm.veevavault.com/ui/#object/sent_email__v/VBL00000000O044", "SE-001390362")</f>
        <v>SE-001390362</v>
      </c>
      <c r="D793" s="4" t="s">
        <v>11</v>
      </c>
      <c r="E793" s="5">
        <v>0</v>
      </c>
      <c r="F793" s="5">
        <v>0</v>
      </c>
      <c r="G793" s="5">
        <v>0</v>
      </c>
      <c r="H793" s="4" t="s">
        <v>11</v>
      </c>
      <c r="I793" s="5">
        <v>0</v>
      </c>
      <c r="J793" s="4">
        <v>45975.646828703706</v>
      </c>
    </row>
    <row r="794" spans="1:10" x14ac:dyDescent="0.2">
      <c r="A794" s="2" t="s">
        <v>10</v>
      </c>
      <c r="B794" s="3" t="str">
        <f t="shared" si="19"/>
        <v>Email instauration Abilify Maintena 960 mg_FR-AM2-2400029</v>
      </c>
      <c r="C794" s="3" t="str">
        <f>HYPERLINK("https://otsuka-europe-crm.veevavault.com/ui/#object/sent_email__v/VBL00000000O045", "SE-001390363")</f>
        <v>SE-001390363</v>
      </c>
      <c r="D794" s="4" t="s">
        <v>11</v>
      </c>
      <c r="E794" s="5">
        <v>0</v>
      </c>
      <c r="F794" s="5">
        <v>0</v>
      </c>
      <c r="G794" s="5">
        <v>0</v>
      </c>
      <c r="H794" s="4" t="s">
        <v>11</v>
      </c>
      <c r="I794" s="5">
        <v>0</v>
      </c>
      <c r="J794" s="4">
        <v>45975.646863425929</v>
      </c>
    </row>
    <row r="795" spans="1:10" x14ac:dyDescent="0.2">
      <c r="A795" s="2" t="s">
        <v>10</v>
      </c>
      <c r="B795" s="3" t="str">
        <f t="shared" si="19"/>
        <v>Email instauration Abilify Maintena 960 mg_FR-AM2-2400029</v>
      </c>
      <c r="C795" s="3" t="str">
        <f>HYPERLINK("https://otsuka-europe-crm.veevavault.com/ui/#object/sent_email__v/VBL00000000O046", "SE-001390364")</f>
        <v>SE-001390364</v>
      </c>
      <c r="D795" s="4" t="s">
        <v>11</v>
      </c>
      <c r="E795" s="5">
        <v>0</v>
      </c>
      <c r="F795" s="5">
        <v>0</v>
      </c>
      <c r="G795" s="5">
        <v>0</v>
      </c>
      <c r="H795" s="4" t="s">
        <v>11</v>
      </c>
      <c r="I795" s="5">
        <v>0</v>
      </c>
      <c r="J795" s="4">
        <v>45975.646909722222</v>
      </c>
    </row>
    <row r="796" spans="1:10" x14ac:dyDescent="0.2">
      <c r="A796" s="2" t="s">
        <v>10</v>
      </c>
      <c r="B796" s="3" t="str">
        <f t="shared" si="19"/>
        <v>Email instauration Abilify Maintena 960 mg_FR-AM2-2400029</v>
      </c>
      <c r="C796" s="3" t="str">
        <f>HYPERLINK("https://otsuka-europe-crm.veevavault.com/ui/#object/sent_email__v/VBL00000000O047", "SE-001390365")</f>
        <v>SE-001390365</v>
      </c>
      <c r="D796" s="4" t="s">
        <v>11</v>
      </c>
      <c r="E796" s="5">
        <v>0</v>
      </c>
      <c r="F796" s="5">
        <v>0</v>
      </c>
      <c r="G796" s="5">
        <v>0</v>
      </c>
      <c r="H796" s="4" t="s">
        <v>11</v>
      </c>
      <c r="I796" s="5">
        <v>0</v>
      </c>
      <c r="J796" s="4">
        <v>45975.646956018521</v>
      </c>
    </row>
    <row r="797" spans="1:10" x14ac:dyDescent="0.2">
      <c r="A797" s="2" t="s">
        <v>10</v>
      </c>
      <c r="B797" s="3" t="str">
        <f t="shared" si="19"/>
        <v>Email instauration Abilify Maintena 960 mg_FR-AM2-2400029</v>
      </c>
      <c r="C797" s="3" t="str">
        <f>HYPERLINK("https://otsuka-europe-crm.veevavault.com/ui/#object/sent_email__v/VBL00000000O048", "SE-001390366")</f>
        <v>SE-001390366</v>
      </c>
      <c r="D797" s="4" t="s">
        <v>11</v>
      </c>
      <c r="E797" s="5">
        <v>0</v>
      </c>
      <c r="F797" s="5">
        <v>0</v>
      </c>
      <c r="G797" s="5">
        <v>0</v>
      </c>
      <c r="H797" s="4" t="s">
        <v>11</v>
      </c>
      <c r="I797" s="5">
        <v>0</v>
      </c>
      <c r="J797" s="4">
        <v>45975.646990740737</v>
      </c>
    </row>
    <row r="798" spans="1:10" x14ac:dyDescent="0.2">
      <c r="A798" s="2" t="s">
        <v>10</v>
      </c>
      <c r="B798" s="3" t="str">
        <f t="shared" si="19"/>
        <v>Email instauration Abilify Maintena 960 mg_FR-AM2-2400029</v>
      </c>
      <c r="C798" s="3" t="str">
        <f>HYPERLINK("https://otsuka-europe-crm.veevavault.com/ui/#object/sent_email__v/VBL00000000O049", "SE-001390367")</f>
        <v>SE-001390367</v>
      </c>
      <c r="D798" s="4">
        <v>45976.519733796296</v>
      </c>
      <c r="E798" s="5">
        <v>1</v>
      </c>
      <c r="F798" s="5">
        <v>2</v>
      </c>
      <c r="G798" s="5">
        <v>0</v>
      </c>
      <c r="H798" s="4" t="s">
        <v>11</v>
      </c>
      <c r="I798" s="5">
        <v>0</v>
      </c>
      <c r="J798" s="4">
        <v>45975.64702546296</v>
      </c>
    </row>
    <row r="799" spans="1:10" x14ac:dyDescent="0.2">
      <c r="A799" s="2" t="s">
        <v>10</v>
      </c>
      <c r="B799" s="3" t="str">
        <f t="shared" si="19"/>
        <v>Email instauration Abilify Maintena 960 mg_FR-AM2-2400029</v>
      </c>
      <c r="C799" s="3" t="str">
        <f>HYPERLINK("https://otsuka-europe-crm.veevavault.com/ui/#object/sent_email__v/VBL00000000O050", "SE-001390368")</f>
        <v>SE-001390368</v>
      </c>
      <c r="D799" s="4" t="s">
        <v>11</v>
      </c>
      <c r="E799" s="5">
        <v>0</v>
      </c>
      <c r="F799" s="5">
        <v>0</v>
      </c>
      <c r="G799" s="5">
        <v>0</v>
      </c>
      <c r="H799" s="4" t="s">
        <v>11</v>
      </c>
      <c r="I799" s="5">
        <v>0</v>
      </c>
      <c r="J799" s="4">
        <v>45975.647060185183</v>
      </c>
    </row>
    <row r="800" spans="1:10" x14ac:dyDescent="0.2">
      <c r="A800" s="2" t="s">
        <v>10</v>
      </c>
      <c r="B800" s="3" t="str">
        <f t="shared" si="19"/>
        <v>Email instauration Abilify Maintena 960 mg_FR-AM2-2400029</v>
      </c>
      <c r="C800" s="3" t="str">
        <f>HYPERLINK("https://otsuka-europe-crm.veevavault.com/ui/#object/sent_email__v/VBL00000000O051", "SE-001390369")</f>
        <v>SE-001390369</v>
      </c>
      <c r="D800" s="4" t="s">
        <v>11</v>
      </c>
      <c r="E800" s="5">
        <v>0</v>
      </c>
      <c r="F800" s="5">
        <v>0</v>
      </c>
      <c r="G800" s="5">
        <v>0</v>
      </c>
      <c r="H800" s="4" t="s">
        <v>11</v>
      </c>
      <c r="I800" s="5">
        <v>0</v>
      </c>
      <c r="J800" s="4">
        <v>45975.647106481483</v>
      </c>
    </row>
    <row r="801" spans="1:10" x14ac:dyDescent="0.2">
      <c r="A801" s="2" t="s">
        <v>10</v>
      </c>
      <c r="B801" s="3" t="str">
        <f t="shared" si="19"/>
        <v>Email instauration Abilify Maintena 960 mg_FR-AM2-2400029</v>
      </c>
      <c r="C801" s="3" t="str">
        <f>HYPERLINK("https://otsuka-europe-crm.veevavault.com/ui/#object/sent_email__v/VBL00000000O052", "SE-001390370")</f>
        <v>SE-001390370</v>
      </c>
      <c r="D801" s="4" t="s">
        <v>11</v>
      </c>
      <c r="E801" s="5">
        <v>0</v>
      </c>
      <c r="F801" s="5">
        <v>0</v>
      </c>
      <c r="G801" s="5">
        <v>0</v>
      </c>
      <c r="H801" s="4" t="s">
        <v>11</v>
      </c>
      <c r="I801" s="5">
        <v>0</v>
      </c>
      <c r="J801" s="4">
        <v>45975.647152777776</v>
      </c>
    </row>
    <row r="802" spans="1:10" x14ac:dyDescent="0.2">
      <c r="A802" s="2" t="s">
        <v>10</v>
      </c>
      <c r="B802" s="3" t="str">
        <f t="shared" si="19"/>
        <v>Email instauration Abilify Maintena 960 mg_FR-AM2-2400029</v>
      </c>
      <c r="C802" s="3" t="str">
        <f>HYPERLINK("https://otsuka-europe-crm.veevavault.com/ui/#object/sent_email__v/VBL00000000O053", "SE-001390371")</f>
        <v>SE-001390371</v>
      </c>
      <c r="D802" s="4" t="s">
        <v>11</v>
      </c>
      <c r="E802" s="5">
        <v>0</v>
      </c>
      <c r="F802" s="5">
        <v>0</v>
      </c>
      <c r="G802" s="5">
        <v>0</v>
      </c>
      <c r="H802" s="4" t="s">
        <v>11</v>
      </c>
      <c r="I802" s="5">
        <v>0</v>
      </c>
      <c r="J802" s="4">
        <v>45975.647187499999</v>
      </c>
    </row>
    <row r="803" spans="1:10" x14ac:dyDescent="0.2">
      <c r="A803" s="2" t="s">
        <v>10</v>
      </c>
      <c r="B803" s="3" t="str">
        <f t="shared" si="19"/>
        <v>Email instauration Abilify Maintena 960 mg_FR-AM2-2400029</v>
      </c>
      <c r="C803" s="3" t="str">
        <f>HYPERLINK("https://otsuka-europe-crm.veevavault.com/ui/#object/sent_email__v/VBL00000000O054", "SE-001390372")</f>
        <v>SE-001390372</v>
      </c>
      <c r="D803" s="4" t="s">
        <v>11</v>
      </c>
      <c r="E803" s="5">
        <v>0</v>
      </c>
      <c r="F803" s="5">
        <v>0</v>
      </c>
      <c r="G803" s="5">
        <v>0</v>
      </c>
      <c r="H803" s="4" t="s">
        <v>11</v>
      </c>
      <c r="I803" s="5">
        <v>0</v>
      </c>
      <c r="J803" s="4">
        <v>45975.647222222222</v>
      </c>
    </row>
    <row r="804" spans="1:10" x14ac:dyDescent="0.2">
      <c r="A804" s="2" t="s">
        <v>10</v>
      </c>
      <c r="B804" s="3" t="str">
        <f t="shared" si="19"/>
        <v>Email instauration Abilify Maintena 960 mg_FR-AM2-2400029</v>
      </c>
      <c r="C804" s="3" t="str">
        <f>HYPERLINK("https://otsuka-europe-crm.veevavault.com/ui/#object/sent_email__v/VBL00000000O055", "SE-001390373")</f>
        <v>SE-001390373</v>
      </c>
      <c r="D804" s="4" t="s">
        <v>11</v>
      </c>
      <c r="E804" s="5">
        <v>0</v>
      </c>
      <c r="F804" s="5">
        <v>0</v>
      </c>
      <c r="G804" s="5">
        <v>0</v>
      </c>
      <c r="H804" s="4" t="s">
        <v>11</v>
      </c>
      <c r="I804" s="5">
        <v>0</v>
      </c>
      <c r="J804" s="4">
        <v>45975.647268518522</v>
      </c>
    </row>
    <row r="805" spans="1:10" x14ac:dyDescent="0.2">
      <c r="A805" s="2" t="s">
        <v>10</v>
      </c>
      <c r="B805" s="3" t="str">
        <f t="shared" si="19"/>
        <v>Email instauration Abilify Maintena 960 mg_FR-AM2-2400029</v>
      </c>
      <c r="C805" s="3" t="str">
        <f>HYPERLINK("https://otsuka-europe-crm.veevavault.com/ui/#object/sent_email__v/VBL00000000O056", "SE-001390374")</f>
        <v>SE-001390374</v>
      </c>
      <c r="D805" s="4" t="s">
        <v>11</v>
      </c>
      <c r="E805" s="5">
        <v>0</v>
      </c>
      <c r="F805" s="5">
        <v>0</v>
      </c>
      <c r="G805" s="5">
        <v>0</v>
      </c>
      <c r="H805" s="4" t="s">
        <v>11</v>
      </c>
      <c r="I805" s="5">
        <v>0</v>
      </c>
      <c r="J805" s="4">
        <v>45975.647303240738</v>
      </c>
    </row>
    <row r="806" spans="1:10" x14ac:dyDescent="0.2">
      <c r="A806" s="2" t="s">
        <v>10</v>
      </c>
      <c r="B806" s="3" t="str">
        <f t="shared" si="19"/>
        <v>Email instauration Abilify Maintena 960 mg_FR-AM2-2400029</v>
      </c>
      <c r="C806" s="3" t="str">
        <f>HYPERLINK("https://otsuka-europe-crm.veevavault.com/ui/#object/sent_email__v/VBL00000000O057", "SE-001390375")</f>
        <v>SE-001390375</v>
      </c>
      <c r="D806" s="4" t="s">
        <v>11</v>
      </c>
      <c r="E806" s="5">
        <v>0</v>
      </c>
      <c r="F806" s="5">
        <v>0</v>
      </c>
      <c r="G806" s="5">
        <v>0</v>
      </c>
      <c r="H806" s="4" t="s">
        <v>11</v>
      </c>
      <c r="I806" s="5">
        <v>0</v>
      </c>
      <c r="J806" s="4">
        <v>45975.647349537037</v>
      </c>
    </row>
    <row r="807" spans="1:10" x14ac:dyDescent="0.2">
      <c r="A807" s="2" t="s">
        <v>10</v>
      </c>
      <c r="B807" s="3" t="str">
        <f t="shared" si="19"/>
        <v>Email instauration Abilify Maintena 960 mg_FR-AM2-2400029</v>
      </c>
      <c r="C807" s="3" t="str">
        <f>HYPERLINK("https://otsuka-europe-crm.veevavault.com/ui/#object/sent_email__v/VBL00000000O058", "SE-001390376")</f>
        <v>SE-001390376</v>
      </c>
      <c r="D807" s="4" t="s">
        <v>11</v>
      </c>
      <c r="E807" s="5">
        <v>0</v>
      </c>
      <c r="F807" s="5">
        <v>0</v>
      </c>
      <c r="G807" s="5">
        <v>0</v>
      </c>
      <c r="H807" s="4" t="s">
        <v>11</v>
      </c>
      <c r="I807" s="5">
        <v>0</v>
      </c>
      <c r="J807" s="4">
        <v>45975.64739583333</v>
      </c>
    </row>
    <row r="808" spans="1:10" x14ac:dyDescent="0.2">
      <c r="A808" s="2" t="s">
        <v>10</v>
      </c>
      <c r="B808" s="3" t="str">
        <f t="shared" si="19"/>
        <v>Email instauration Abilify Maintena 960 mg_FR-AM2-2400029</v>
      </c>
      <c r="C808" s="3" t="str">
        <f>HYPERLINK("https://otsuka-europe-crm.veevavault.com/ui/#object/sent_email__v/VBL00000000O059", "SE-001390377")</f>
        <v>SE-001390377</v>
      </c>
      <c r="D808" s="4" t="s">
        <v>11</v>
      </c>
      <c r="E808" s="5">
        <v>0</v>
      </c>
      <c r="F808" s="5">
        <v>0</v>
      </c>
      <c r="G808" s="5">
        <v>0</v>
      </c>
      <c r="H808" s="4" t="s">
        <v>11</v>
      </c>
      <c r="I808" s="5">
        <v>0</v>
      </c>
      <c r="J808" s="4">
        <v>45975.647430555553</v>
      </c>
    </row>
    <row r="809" spans="1:10" x14ac:dyDescent="0.2">
      <c r="A809" s="2" t="s">
        <v>10</v>
      </c>
      <c r="B809" s="3" t="str">
        <f t="shared" si="19"/>
        <v>Email instauration Abilify Maintena 960 mg_FR-AM2-2400029</v>
      </c>
      <c r="C809" s="3" t="str">
        <f>HYPERLINK("https://otsuka-europe-crm.veevavault.com/ui/#object/sent_email__v/VBL00000000O060", "SE-001390378")</f>
        <v>SE-001390378</v>
      </c>
      <c r="D809" s="4">
        <v>45975.870509259257</v>
      </c>
      <c r="E809" s="5">
        <v>1</v>
      </c>
      <c r="F809" s="5">
        <v>1</v>
      </c>
      <c r="G809" s="5">
        <v>0</v>
      </c>
      <c r="H809" s="4" t="s">
        <v>11</v>
      </c>
      <c r="I809" s="5">
        <v>0</v>
      </c>
      <c r="J809" s="4">
        <v>45975.647476851853</v>
      </c>
    </row>
    <row r="810" spans="1:10" x14ac:dyDescent="0.2">
      <c r="A810" s="2" t="s">
        <v>10</v>
      </c>
      <c r="B810" s="3" t="str">
        <f t="shared" si="19"/>
        <v>Email instauration Abilify Maintena 960 mg_FR-AM2-2400029</v>
      </c>
      <c r="C810" s="3" t="str">
        <f>HYPERLINK("https://otsuka-europe-crm.veevavault.com/ui/#object/sent_email__v/VBL00000000O061", "SE-001390379")</f>
        <v>SE-001390379</v>
      </c>
      <c r="D810" s="4" t="s">
        <v>11</v>
      </c>
      <c r="E810" s="5">
        <v>0</v>
      </c>
      <c r="F810" s="5">
        <v>0</v>
      </c>
      <c r="G810" s="5">
        <v>0</v>
      </c>
      <c r="H810" s="4" t="s">
        <v>11</v>
      </c>
      <c r="I810" s="5">
        <v>0</v>
      </c>
      <c r="J810" s="4">
        <v>45975.647511574076</v>
      </c>
    </row>
    <row r="811" spans="1:10" x14ac:dyDescent="0.2">
      <c r="A811" s="2" t="s">
        <v>10</v>
      </c>
      <c r="B811" s="3" t="str">
        <f t="shared" si="19"/>
        <v>Email instauration Abilify Maintena 960 mg_FR-AM2-2400029</v>
      </c>
      <c r="C811" s="3" t="str">
        <f>HYPERLINK("https://otsuka-europe-crm.veevavault.com/ui/#object/sent_email__v/VBL00000000O062", "SE-001390380")</f>
        <v>SE-001390380</v>
      </c>
      <c r="D811" s="4" t="s">
        <v>11</v>
      </c>
      <c r="E811" s="5">
        <v>0</v>
      </c>
      <c r="F811" s="5">
        <v>0</v>
      </c>
      <c r="G811" s="5">
        <v>0</v>
      </c>
      <c r="H811" s="4" t="s">
        <v>11</v>
      </c>
      <c r="I811" s="5">
        <v>0</v>
      </c>
      <c r="J811" s="4">
        <v>45975.647604166668</v>
      </c>
    </row>
    <row r="812" spans="1:10" x14ac:dyDescent="0.2">
      <c r="A812" s="2" t="s">
        <v>10</v>
      </c>
      <c r="B812" s="3" t="str">
        <f t="shared" si="19"/>
        <v>Email instauration Abilify Maintena 960 mg_FR-AM2-2400029</v>
      </c>
      <c r="C812" s="3" t="str">
        <f>HYPERLINK("https://otsuka-europe-crm.veevavault.com/ui/#object/sent_email__v/VBL00000000O063", "SE-001390381")</f>
        <v>SE-001390381</v>
      </c>
      <c r="D812" s="4" t="s">
        <v>11</v>
      </c>
      <c r="E812" s="5">
        <v>0</v>
      </c>
      <c r="F812" s="5">
        <v>0</v>
      </c>
      <c r="G812" s="5">
        <v>0</v>
      </c>
      <c r="H812" s="4" t="s">
        <v>11</v>
      </c>
      <c r="I812" s="5">
        <v>0</v>
      </c>
      <c r="J812" s="4">
        <v>45975.647627314815</v>
      </c>
    </row>
    <row r="813" spans="1:10" x14ac:dyDescent="0.2">
      <c r="A813" s="2" t="s">
        <v>10</v>
      </c>
      <c r="B813" s="3" t="str">
        <f t="shared" ref="B813:B876" si="20">HYPERLINK("https://otsuka-europe-crm.veevavault.com/ui/#object/approved_document__v/V5OZ025E82N8159", "Email instauration Abilify Maintena 960 mg_FR-AM2-2400029")</f>
        <v>Email instauration Abilify Maintena 960 mg_FR-AM2-2400029</v>
      </c>
      <c r="C813" s="3" t="str">
        <f>HYPERLINK("https://otsuka-europe-crm.veevavault.com/ui/#object/sent_email__v/VBL00000000O064", "SE-001390382")</f>
        <v>SE-001390382</v>
      </c>
      <c r="D813" s="4" t="s">
        <v>11</v>
      </c>
      <c r="E813" s="5">
        <v>0</v>
      </c>
      <c r="F813" s="5">
        <v>0</v>
      </c>
      <c r="G813" s="5">
        <v>0</v>
      </c>
      <c r="H813" s="4" t="s">
        <v>11</v>
      </c>
      <c r="I813" s="5">
        <v>0</v>
      </c>
      <c r="J813" s="4">
        <v>45975.647696759261</v>
      </c>
    </row>
    <row r="814" spans="1:10" x14ac:dyDescent="0.2">
      <c r="A814" s="2" t="s">
        <v>10</v>
      </c>
      <c r="B814" s="3" t="str">
        <f t="shared" si="20"/>
        <v>Email instauration Abilify Maintena 960 mg_FR-AM2-2400029</v>
      </c>
      <c r="C814" s="3" t="str">
        <f>HYPERLINK("https://otsuka-europe-crm.veevavault.com/ui/#object/sent_email__v/VBL00000000O065", "SE-001390383")</f>
        <v>SE-001390383</v>
      </c>
      <c r="D814" s="4" t="s">
        <v>11</v>
      </c>
      <c r="E814" s="5">
        <v>0</v>
      </c>
      <c r="F814" s="5">
        <v>0</v>
      </c>
      <c r="G814" s="5">
        <v>0</v>
      </c>
      <c r="H814" s="4" t="s">
        <v>11</v>
      </c>
      <c r="I814" s="5">
        <v>0</v>
      </c>
      <c r="J814" s="4">
        <v>45975.64775462963</v>
      </c>
    </row>
    <row r="815" spans="1:10" x14ac:dyDescent="0.2">
      <c r="A815" s="2" t="s">
        <v>10</v>
      </c>
      <c r="B815" s="3" t="str">
        <f t="shared" si="20"/>
        <v>Email instauration Abilify Maintena 960 mg_FR-AM2-2400029</v>
      </c>
      <c r="C815" s="3" t="str">
        <f>HYPERLINK("https://otsuka-europe-crm.veevavault.com/ui/#object/sent_email__v/VBL00000000O066", "SE-001390384")</f>
        <v>SE-001390384</v>
      </c>
      <c r="D815" s="4">
        <v>45980.544305555559</v>
      </c>
      <c r="E815" s="5">
        <v>1</v>
      </c>
      <c r="F815" s="5">
        <v>1</v>
      </c>
      <c r="G815" s="5">
        <v>1</v>
      </c>
      <c r="H815" s="4">
        <v>45980.544305555559</v>
      </c>
      <c r="I815" s="5">
        <v>1</v>
      </c>
      <c r="J815" s="4">
        <v>45975.647789351853</v>
      </c>
    </row>
    <row r="816" spans="1:10" x14ac:dyDescent="0.2">
      <c r="A816" s="2" t="s">
        <v>10</v>
      </c>
      <c r="B816" s="3" t="str">
        <f t="shared" si="20"/>
        <v>Email instauration Abilify Maintena 960 mg_FR-AM2-2400029</v>
      </c>
      <c r="C816" s="3" t="str">
        <f>HYPERLINK("https://otsuka-europe-crm.veevavault.com/ui/#object/sent_email__v/VBL00000000O067", "SE-001390385")</f>
        <v>SE-001390385</v>
      </c>
      <c r="D816" s="4" t="s">
        <v>11</v>
      </c>
      <c r="E816" s="5">
        <v>0</v>
      </c>
      <c r="F816" s="5">
        <v>0</v>
      </c>
      <c r="G816" s="5">
        <v>0</v>
      </c>
      <c r="H816" s="4" t="s">
        <v>11</v>
      </c>
      <c r="I816" s="5">
        <v>0</v>
      </c>
      <c r="J816" s="4">
        <v>45975.647824074076</v>
      </c>
    </row>
    <row r="817" spans="1:10" x14ac:dyDescent="0.2">
      <c r="A817" s="2" t="s">
        <v>10</v>
      </c>
      <c r="B817" s="3" t="str">
        <f t="shared" si="20"/>
        <v>Email instauration Abilify Maintena 960 mg_FR-AM2-2400029</v>
      </c>
      <c r="C817" s="3" t="str">
        <f>HYPERLINK("https://otsuka-europe-crm.veevavault.com/ui/#object/sent_email__v/VBL00000000O068", "SE-001390386")</f>
        <v>SE-001390386</v>
      </c>
      <c r="D817" s="4" t="s">
        <v>11</v>
      </c>
      <c r="E817" s="5">
        <v>0</v>
      </c>
      <c r="F817" s="5">
        <v>0</v>
      </c>
      <c r="G817" s="5">
        <v>0</v>
      </c>
      <c r="H817" s="4" t="s">
        <v>11</v>
      </c>
      <c r="I817" s="5">
        <v>0</v>
      </c>
      <c r="J817" s="4">
        <v>45975.647870370369</v>
      </c>
    </row>
    <row r="818" spans="1:10" x14ac:dyDescent="0.2">
      <c r="A818" s="2" t="s">
        <v>10</v>
      </c>
      <c r="B818" s="3" t="str">
        <f t="shared" si="20"/>
        <v>Email instauration Abilify Maintena 960 mg_FR-AM2-2400029</v>
      </c>
      <c r="C818" s="3" t="str">
        <f>HYPERLINK("https://otsuka-europe-crm.veevavault.com/ui/#object/sent_email__v/VBL00000000O069", "SE-001390387")</f>
        <v>SE-001390387</v>
      </c>
      <c r="D818" s="4" t="s">
        <v>11</v>
      </c>
      <c r="E818" s="5">
        <v>0</v>
      </c>
      <c r="F818" s="5">
        <v>0</v>
      </c>
      <c r="G818" s="5">
        <v>0</v>
      </c>
      <c r="H818" s="4" t="s">
        <v>11</v>
      </c>
      <c r="I818" s="5">
        <v>0</v>
      </c>
      <c r="J818" s="4">
        <v>45975.647916666669</v>
      </c>
    </row>
    <row r="819" spans="1:10" x14ac:dyDescent="0.2">
      <c r="A819" s="2" t="s">
        <v>10</v>
      </c>
      <c r="B819" s="3" t="str">
        <f t="shared" si="20"/>
        <v>Email instauration Abilify Maintena 960 mg_FR-AM2-2400029</v>
      </c>
      <c r="C819" s="3" t="str">
        <f>HYPERLINK("https://otsuka-europe-crm.veevavault.com/ui/#object/sent_email__v/VBL00000000O070", "SE-001390388")</f>
        <v>SE-001390388</v>
      </c>
      <c r="D819" s="4" t="s">
        <v>11</v>
      </c>
      <c r="E819" s="5">
        <v>0</v>
      </c>
      <c r="F819" s="5">
        <v>0</v>
      </c>
      <c r="G819" s="5">
        <v>0</v>
      </c>
      <c r="H819" s="4" t="s">
        <v>11</v>
      </c>
      <c r="I819" s="5">
        <v>0</v>
      </c>
      <c r="J819" s="4">
        <v>45975.647962962961</v>
      </c>
    </row>
    <row r="820" spans="1:10" x14ac:dyDescent="0.2">
      <c r="A820" s="2" t="s">
        <v>10</v>
      </c>
      <c r="B820" s="3" t="str">
        <f t="shared" si="20"/>
        <v>Email instauration Abilify Maintena 960 mg_FR-AM2-2400029</v>
      </c>
      <c r="C820" s="3" t="str">
        <f>HYPERLINK("https://otsuka-europe-crm.veevavault.com/ui/#object/sent_email__v/VBL00000000O071", "SE-001390389")</f>
        <v>SE-001390389</v>
      </c>
      <c r="D820" s="4">
        <v>45975.982199074075</v>
      </c>
      <c r="E820" s="5">
        <v>1</v>
      </c>
      <c r="F820" s="5">
        <v>6</v>
      </c>
      <c r="G820" s="5">
        <v>0</v>
      </c>
      <c r="H820" s="4" t="s">
        <v>11</v>
      </c>
      <c r="I820" s="5">
        <v>0</v>
      </c>
      <c r="J820" s="4">
        <v>45975.647997685184</v>
      </c>
    </row>
    <row r="821" spans="1:10" x14ac:dyDescent="0.2">
      <c r="A821" s="2" t="s">
        <v>10</v>
      </c>
      <c r="B821" s="3" t="str">
        <f t="shared" si="20"/>
        <v>Email instauration Abilify Maintena 960 mg_FR-AM2-2400029</v>
      </c>
      <c r="C821" s="3" t="str">
        <f>HYPERLINK("https://otsuka-europe-crm.veevavault.com/ui/#object/sent_email__v/VBL00000000O072", "SE-001390390")</f>
        <v>SE-001390390</v>
      </c>
      <c r="D821" s="4">
        <v>45984.846261574072</v>
      </c>
      <c r="E821" s="5">
        <v>1</v>
      </c>
      <c r="F821" s="5">
        <v>2</v>
      </c>
      <c r="G821" s="5">
        <v>0</v>
      </c>
      <c r="H821" s="4" t="s">
        <v>11</v>
      </c>
      <c r="I821" s="5">
        <v>0</v>
      </c>
      <c r="J821" s="4">
        <v>45975.648043981484</v>
      </c>
    </row>
    <row r="822" spans="1:10" x14ac:dyDescent="0.2">
      <c r="A822" s="2" t="s">
        <v>10</v>
      </c>
      <c r="B822" s="3" t="str">
        <f t="shared" si="20"/>
        <v>Email instauration Abilify Maintena 960 mg_FR-AM2-2400029</v>
      </c>
      <c r="C822" s="3" t="str">
        <f>HYPERLINK("https://otsuka-europe-crm.veevavault.com/ui/#object/sent_email__v/VBL00000000O073", "SE-001390391")</f>
        <v>SE-001390391</v>
      </c>
      <c r="D822" s="4" t="s">
        <v>11</v>
      </c>
      <c r="E822" s="5">
        <v>0</v>
      </c>
      <c r="F822" s="5">
        <v>0</v>
      </c>
      <c r="G822" s="5">
        <v>0</v>
      </c>
      <c r="H822" s="4" t="s">
        <v>11</v>
      </c>
      <c r="I822" s="5">
        <v>0</v>
      </c>
      <c r="J822" s="4">
        <v>45975.648078703707</v>
      </c>
    </row>
    <row r="823" spans="1:10" x14ac:dyDescent="0.2">
      <c r="A823" s="2" t="s">
        <v>10</v>
      </c>
      <c r="B823" s="3" t="str">
        <f t="shared" si="20"/>
        <v>Email instauration Abilify Maintena 960 mg_FR-AM2-2400029</v>
      </c>
      <c r="C823" s="3" t="str">
        <f>HYPERLINK("https://otsuka-europe-crm.veevavault.com/ui/#object/sent_email__v/VBL00000000O074", "SE-001390392")</f>
        <v>SE-001390392</v>
      </c>
      <c r="D823" s="4" t="s">
        <v>11</v>
      </c>
      <c r="E823" s="5">
        <v>0</v>
      </c>
      <c r="F823" s="5">
        <v>0</v>
      </c>
      <c r="G823" s="5">
        <v>0</v>
      </c>
      <c r="H823" s="4" t="s">
        <v>11</v>
      </c>
      <c r="I823" s="5">
        <v>0</v>
      </c>
      <c r="J823" s="4">
        <v>45975.648125</v>
      </c>
    </row>
    <row r="824" spans="1:10" x14ac:dyDescent="0.2">
      <c r="A824" s="2" t="s">
        <v>10</v>
      </c>
      <c r="B824" s="3" t="str">
        <f t="shared" si="20"/>
        <v>Email instauration Abilify Maintena 960 mg_FR-AM2-2400029</v>
      </c>
      <c r="C824" s="3" t="str">
        <f>HYPERLINK("https://otsuka-europe-crm.veevavault.com/ui/#object/sent_email__v/VBL00000000O075", "SE-001390393")</f>
        <v>SE-001390393</v>
      </c>
      <c r="D824" s="4" t="s">
        <v>11</v>
      </c>
      <c r="E824" s="5">
        <v>0</v>
      </c>
      <c r="F824" s="5">
        <v>0</v>
      </c>
      <c r="G824" s="5">
        <v>0</v>
      </c>
      <c r="H824" s="4" t="s">
        <v>11</v>
      </c>
      <c r="I824" s="5">
        <v>0</v>
      </c>
      <c r="J824" s="4">
        <v>45975.6481712963</v>
      </c>
    </row>
    <row r="825" spans="1:10" x14ac:dyDescent="0.2">
      <c r="A825" s="2" t="s">
        <v>10</v>
      </c>
      <c r="B825" s="3" t="str">
        <f t="shared" si="20"/>
        <v>Email instauration Abilify Maintena 960 mg_FR-AM2-2400029</v>
      </c>
      <c r="C825" s="3" t="str">
        <f>HYPERLINK("https://otsuka-europe-crm.veevavault.com/ui/#object/sent_email__v/VBL00000000O076", "SE-001390394")</f>
        <v>SE-001390394</v>
      </c>
      <c r="D825" s="4" t="s">
        <v>11</v>
      </c>
      <c r="E825" s="5">
        <v>0</v>
      </c>
      <c r="F825" s="5">
        <v>0</v>
      </c>
      <c r="G825" s="5">
        <v>0</v>
      </c>
      <c r="H825" s="4" t="s">
        <v>11</v>
      </c>
      <c r="I825" s="5">
        <v>0</v>
      </c>
      <c r="J825" s="4">
        <v>45975.648217592592</v>
      </c>
    </row>
    <row r="826" spans="1:10" x14ac:dyDescent="0.2">
      <c r="A826" s="2" t="s">
        <v>10</v>
      </c>
      <c r="B826" s="3" t="str">
        <f t="shared" si="20"/>
        <v>Email instauration Abilify Maintena 960 mg_FR-AM2-2400029</v>
      </c>
      <c r="C826" s="3" t="str">
        <f>HYPERLINK("https://otsuka-europe-crm.veevavault.com/ui/#object/sent_email__v/VBL00000000O077", "SE-001390395")</f>
        <v>SE-001390395</v>
      </c>
      <c r="D826" s="4" t="s">
        <v>11</v>
      </c>
      <c r="E826" s="5">
        <v>0</v>
      </c>
      <c r="F826" s="5">
        <v>0</v>
      </c>
      <c r="G826" s="5">
        <v>0</v>
      </c>
      <c r="H826" s="4" t="s">
        <v>11</v>
      </c>
      <c r="I826" s="5">
        <v>0</v>
      </c>
      <c r="J826" s="4">
        <v>45975.648252314815</v>
      </c>
    </row>
    <row r="827" spans="1:10" x14ac:dyDescent="0.2">
      <c r="A827" s="2" t="s">
        <v>10</v>
      </c>
      <c r="B827" s="3" t="str">
        <f t="shared" si="20"/>
        <v>Email instauration Abilify Maintena 960 mg_FR-AM2-2400029</v>
      </c>
      <c r="C827" s="3" t="str">
        <f>HYPERLINK("https://otsuka-europe-crm.veevavault.com/ui/#object/sent_email__v/VBL00000000O078", "SE-001390396")</f>
        <v>SE-001390396</v>
      </c>
      <c r="D827" s="4" t="s">
        <v>11</v>
      </c>
      <c r="E827" s="5">
        <v>0</v>
      </c>
      <c r="F827" s="5">
        <v>0</v>
      </c>
      <c r="G827" s="5">
        <v>0</v>
      </c>
      <c r="H827" s="4" t="s">
        <v>11</v>
      </c>
      <c r="I827" s="5">
        <v>0</v>
      </c>
      <c r="J827" s="4">
        <v>45975.648298611108</v>
      </c>
    </row>
    <row r="828" spans="1:10" x14ac:dyDescent="0.2">
      <c r="A828" s="2" t="s">
        <v>10</v>
      </c>
      <c r="B828" s="3" t="str">
        <f t="shared" si="20"/>
        <v>Email instauration Abilify Maintena 960 mg_FR-AM2-2400029</v>
      </c>
      <c r="C828" s="3" t="str">
        <f>HYPERLINK("https://otsuka-europe-crm.veevavault.com/ui/#object/sent_email__v/VBL00000000O079", "SE-001390397")</f>
        <v>SE-001390397</v>
      </c>
      <c r="D828" s="4" t="s">
        <v>11</v>
      </c>
      <c r="E828" s="5">
        <v>0</v>
      </c>
      <c r="F828" s="5">
        <v>0</v>
      </c>
      <c r="G828" s="5">
        <v>0</v>
      </c>
      <c r="H828" s="4" t="s">
        <v>11</v>
      </c>
      <c r="I828" s="5">
        <v>0</v>
      </c>
      <c r="J828" s="4">
        <v>45975.648333333331</v>
      </c>
    </row>
    <row r="829" spans="1:10" x14ac:dyDescent="0.2">
      <c r="A829" s="2" t="s">
        <v>10</v>
      </c>
      <c r="B829" s="3" t="str">
        <f t="shared" si="20"/>
        <v>Email instauration Abilify Maintena 960 mg_FR-AM2-2400029</v>
      </c>
      <c r="C829" s="3" t="str">
        <f>HYPERLINK("https://otsuka-europe-crm.veevavault.com/ui/#object/sent_email__v/VBL00000000O080", "SE-001390398")</f>
        <v>SE-001390398</v>
      </c>
      <c r="D829" s="4" t="s">
        <v>11</v>
      </c>
      <c r="E829" s="5">
        <v>0</v>
      </c>
      <c r="F829" s="5">
        <v>0</v>
      </c>
      <c r="G829" s="5">
        <v>0</v>
      </c>
      <c r="H829" s="4" t="s">
        <v>11</v>
      </c>
      <c r="I829" s="5">
        <v>0</v>
      </c>
      <c r="J829" s="4">
        <v>45975.648368055554</v>
      </c>
    </row>
    <row r="830" spans="1:10" x14ac:dyDescent="0.2">
      <c r="A830" s="2" t="s">
        <v>10</v>
      </c>
      <c r="B830" s="3" t="str">
        <f t="shared" si="20"/>
        <v>Email instauration Abilify Maintena 960 mg_FR-AM2-2400029</v>
      </c>
      <c r="C830" s="3" t="str">
        <f>HYPERLINK("https://otsuka-europe-crm.veevavault.com/ui/#object/sent_email__v/VBL00000000O081", "SE-001390399")</f>
        <v>SE-001390399</v>
      </c>
      <c r="D830" s="4" t="s">
        <v>11</v>
      </c>
      <c r="E830" s="5">
        <v>0</v>
      </c>
      <c r="F830" s="5">
        <v>0</v>
      </c>
      <c r="G830" s="5">
        <v>0</v>
      </c>
      <c r="H830" s="4" t="s">
        <v>11</v>
      </c>
      <c r="I830" s="5">
        <v>0</v>
      </c>
      <c r="J830" s="4">
        <v>45975.648414351854</v>
      </c>
    </row>
    <row r="831" spans="1:10" x14ac:dyDescent="0.2">
      <c r="A831" s="2" t="s">
        <v>10</v>
      </c>
      <c r="B831" s="3" t="str">
        <f t="shared" si="20"/>
        <v>Email instauration Abilify Maintena 960 mg_FR-AM2-2400029</v>
      </c>
      <c r="C831" s="3" t="str">
        <f>HYPERLINK("https://otsuka-europe-crm.veevavault.com/ui/#object/sent_email__v/VBL00000000O082", "SE-001390400")</f>
        <v>SE-001390400</v>
      </c>
      <c r="D831" s="4" t="s">
        <v>11</v>
      </c>
      <c r="E831" s="5">
        <v>0</v>
      </c>
      <c r="F831" s="5">
        <v>0</v>
      </c>
      <c r="G831" s="5">
        <v>0</v>
      </c>
      <c r="H831" s="4" t="s">
        <v>11</v>
      </c>
      <c r="I831" s="5">
        <v>0</v>
      </c>
      <c r="J831" s="4">
        <v>45975.648460648146</v>
      </c>
    </row>
    <row r="832" spans="1:10" x14ac:dyDescent="0.2">
      <c r="A832" s="2" t="s">
        <v>10</v>
      </c>
      <c r="B832" s="3" t="str">
        <f t="shared" si="20"/>
        <v>Email instauration Abilify Maintena 960 mg_FR-AM2-2400029</v>
      </c>
      <c r="C832" s="3" t="str">
        <f>HYPERLINK("https://otsuka-europe-crm.veevavault.com/ui/#object/sent_email__v/VBL00000000O083", "SE-001390401")</f>
        <v>SE-001390401</v>
      </c>
      <c r="D832" s="4" t="s">
        <v>11</v>
      </c>
      <c r="E832" s="5">
        <v>0</v>
      </c>
      <c r="F832" s="5">
        <v>0</v>
      </c>
      <c r="G832" s="5">
        <v>0</v>
      </c>
      <c r="H832" s="4" t="s">
        <v>11</v>
      </c>
      <c r="I832" s="5">
        <v>0</v>
      </c>
      <c r="J832" s="4">
        <v>45975.648495370369</v>
      </c>
    </row>
    <row r="833" spans="1:10" x14ac:dyDescent="0.2">
      <c r="A833" s="2" t="s">
        <v>10</v>
      </c>
      <c r="B833" s="3" t="str">
        <f t="shared" si="20"/>
        <v>Email instauration Abilify Maintena 960 mg_FR-AM2-2400029</v>
      </c>
      <c r="C833" s="3" t="str">
        <f>HYPERLINK("https://otsuka-europe-crm.veevavault.com/ui/#object/sent_email__v/VBL00000000O084", "SE-001390402")</f>
        <v>SE-001390402</v>
      </c>
      <c r="D833" s="4" t="s">
        <v>11</v>
      </c>
      <c r="E833" s="5">
        <v>0</v>
      </c>
      <c r="F833" s="5">
        <v>0</v>
      </c>
      <c r="G833" s="5">
        <v>0</v>
      </c>
      <c r="H833" s="4" t="s">
        <v>11</v>
      </c>
      <c r="I833" s="5">
        <v>0</v>
      </c>
      <c r="J833" s="4">
        <v>45975.648553240739</v>
      </c>
    </row>
    <row r="834" spans="1:10" x14ac:dyDescent="0.2">
      <c r="A834" s="2" t="s">
        <v>10</v>
      </c>
      <c r="B834" s="3" t="str">
        <f t="shared" si="20"/>
        <v>Email instauration Abilify Maintena 960 mg_FR-AM2-2400029</v>
      </c>
      <c r="C834" s="3" t="str">
        <f>HYPERLINK("https://otsuka-europe-crm.veevavault.com/ui/#object/sent_email__v/VBL00000000N274", "SE-001390406")</f>
        <v>SE-001390406</v>
      </c>
      <c r="D834" s="4" t="s">
        <v>11</v>
      </c>
      <c r="E834" s="5">
        <v>0</v>
      </c>
      <c r="F834" s="5">
        <v>0</v>
      </c>
      <c r="G834" s="5">
        <v>0</v>
      </c>
      <c r="H834" s="4" t="s">
        <v>11</v>
      </c>
      <c r="I834" s="5">
        <v>0</v>
      </c>
      <c r="J834" s="4">
        <v>45975.687465277777</v>
      </c>
    </row>
    <row r="835" spans="1:10" x14ac:dyDescent="0.2">
      <c r="A835" s="2" t="s">
        <v>10</v>
      </c>
      <c r="B835" s="3" t="str">
        <f t="shared" si="20"/>
        <v>Email instauration Abilify Maintena 960 mg_FR-AM2-2400029</v>
      </c>
      <c r="C835" s="3" t="str">
        <f>HYPERLINK("https://otsuka-europe-crm.veevavault.com/ui/#object/sent_email__v/VBL00000000N275", "SE-001390407")</f>
        <v>SE-001390407</v>
      </c>
      <c r="D835" s="4">
        <v>45976.496874999997</v>
      </c>
      <c r="E835" s="5">
        <v>1</v>
      </c>
      <c r="F835" s="5">
        <v>2</v>
      </c>
      <c r="G835" s="5">
        <v>0</v>
      </c>
      <c r="H835" s="4" t="s">
        <v>11</v>
      </c>
      <c r="I835" s="5">
        <v>0</v>
      </c>
      <c r="J835" s="4">
        <v>45975.6878125</v>
      </c>
    </row>
    <row r="836" spans="1:10" x14ac:dyDescent="0.2">
      <c r="A836" s="2" t="s">
        <v>10</v>
      </c>
      <c r="B836" s="3" t="str">
        <f t="shared" si="20"/>
        <v>Email instauration Abilify Maintena 960 mg_FR-AM2-2400029</v>
      </c>
      <c r="C836" s="3" t="str">
        <f>HYPERLINK("https://otsuka-europe-crm.veevavault.com/ui/#object/sent_email__v/VBL00000000O087", "SE-001390409")</f>
        <v>SE-001390409</v>
      </c>
      <c r="D836" s="4" t="s">
        <v>11</v>
      </c>
      <c r="E836" s="5">
        <v>0</v>
      </c>
      <c r="F836" s="5">
        <v>0</v>
      </c>
      <c r="G836" s="5">
        <v>0</v>
      </c>
      <c r="H836" s="4" t="s">
        <v>11</v>
      </c>
      <c r="I836" s="5">
        <v>0</v>
      </c>
      <c r="J836" s="4">
        <v>45975.709270833337</v>
      </c>
    </row>
    <row r="837" spans="1:10" x14ac:dyDescent="0.2">
      <c r="A837" s="2" t="s">
        <v>10</v>
      </c>
      <c r="B837" s="3" t="str">
        <f t="shared" si="20"/>
        <v>Email instauration Abilify Maintena 960 mg_FR-AM2-2400029</v>
      </c>
      <c r="C837" s="3" t="str">
        <f>HYPERLINK("https://otsuka-europe-crm.veevavault.com/ui/#object/sent_email__v/VBL00000000O099", "SE-001390428")</f>
        <v>SE-001390428</v>
      </c>
      <c r="D837" s="4" t="s">
        <v>11</v>
      </c>
      <c r="E837" s="5">
        <v>0</v>
      </c>
      <c r="F837" s="5">
        <v>0</v>
      </c>
      <c r="G837" s="5">
        <v>0</v>
      </c>
      <c r="H837" s="4" t="s">
        <v>11</v>
      </c>
      <c r="I837" s="5">
        <v>0</v>
      </c>
      <c r="J837" s="4">
        <v>45978.301064814812</v>
      </c>
    </row>
    <row r="838" spans="1:10" x14ac:dyDescent="0.2">
      <c r="A838" s="2" t="s">
        <v>10</v>
      </c>
      <c r="B838" s="3" t="str">
        <f t="shared" si="20"/>
        <v>Email instauration Abilify Maintena 960 mg_FR-AM2-2400029</v>
      </c>
      <c r="C838" s="3" t="str">
        <f>HYPERLINK("https://otsuka-europe-crm.veevavault.com/ui/#object/sent_email__v/VBL00000000O103", "SE-001390432")</f>
        <v>SE-001390432</v>
      </c>
      <c r="D838" s="4" t="s">
        <v>11</v>
      </c>
      <c r="E838" s="5">
        <v>0</v>
      </c>
      <c r="F838" s="5">
        <v>0</v>
      </c>
      <c r="G838" s="5">
        <v>0</v>
      </c>
      <c r="H838" s="4" t="s">
        <v>11</v>
      </c>
      <c r="I838" s="5">
        <v>0</v>
      </c>
      <c r="J838" s="4">
        <v>45978.301863425928</v>
      </c>
    </row>
    <row r="839" spans="1:10" x14ac:dyDescent="0.2">
      <c r="A839" s="2" t="s">
        <v>10</v>
      </c>
      <c r="B839" s="3" t="str">
        <f t="shared" si="20"/>
        <v>Email instauration Abilify Maintena 960 mg_FR-AM2-2400029</v>
      </c>
      <c r="C839" s="3" t="str">
        <f>HYPERLINK("https://otsuka-europe-crm.veevavault.com/ui/#object/sent_email__v/VBL00000000O104", "SE-001390433")</f>
        <v>SE-001390433</v>
      </c>
      <c r="D839" s="4" t="s">
        <v>11</v>
      </c>
      <c r="E839" s="5">
        <v>0</v>
      </c>
      <c r="F839" s="5">
        <v>0</v>
      </c>
      <c r="G839" s="5">
        <v>0</v>
      </c>
      <c r="H839" s="4" t="s">
        <v>11</v>
      </c>
      <c r="I839" s="5">
        <v>0</v>
      </c>
      <c r="J839" s="4">
        <v>45978.302245370367</v>
      </c>
    </row>
    <row r="840" spans="1:10" x14ac:dyDescent="0.2">
      <c r="A840" s="2" t="s">
        <v>10</v>
      </c>
      <c r="B840" s="3" t="str">
        <f t="shared" si="20"/>
        <v>Email instauration Abilify Maintena 960 mg_FR-AM2-2400029</v>
      </c>
      <c r="C840" s="3" t="str">
        <f>HYPERLINK("https://otsuka-europe-crm.veevavault.com/ui/#object/sent_email__v/VBL00000000N467", "SE-001390790")</f>
        <v>SE-001390790</v>
      </c>
      <c r="D840" s="4">
        <v>45979.758101851854</v>
      </c>
      <c r="E840" s="5">
        <v>1</v>
      </c>
      <c r="F840" s="5">
        <v>9</v>
      </c>
      <c r="G840" s="5">
        <v>0</v>
      </c>
      <c r="H840" s="4" t="s">
        <v>11</v>
      </c>
      <c r="I840" s="5">
        <v>0</v>
      </c>
      <c r="J840" s="4">
        <v>45978.693472222221</v>
      </c>
    </row>
    <row r="841" spans="1:10" x14ac:dyDescent="0.2">
      <c r="A841" s="2" t="s">
        <v>10</v>
      </c>
      <c r="B841" s="3" t="str">
        <f t="shared" si="20"/>
        <v>Email instauration Abilify Maintena 960 mg_FR-AM2-2400029</v>
      </c>
      <c r="C841" s="3" t="str">
        <f>HYPERLINK("https://otsuka-europe-crm.veevavault.com/ui/#object/sent_email__v/VBL00000000N550", "SE-001391046")</f>
        <v>SE-001391046</v>
      </c>
      <c r="D841" s="4" t="s">
        <v>11</v>
      </c>
      <c r="E841" s="5">
        <v>0</v>
      </c>
      <c r="F841" s="5">
        <v>0</v>
      </c>
      <c r="G841" s="5">
        <v>0</v>
      </c>
      <c r="H841" s="4" t="s">
        <v>11</v>
      </c>
      <c r="I841" s="5">
        <v>0</v>
      </c>
      <c r="J841" s="4">
        <v>45979.674756944441</v>
      </c>
    </row>
    <row r="842" spans="1:10" x14ac:dyDescent="0.2">
      <c r="A842" s="2" t="s">
        <v>10</v>
      </c>
      <c r="B842" s="3" t="str">
        <f t="shared" si="20"/>
        <v>Email instauration Abilify Maintena 960 mg_FR-AM2-2400029</v>
      </c>
      <c r="C842" s="3" t="str">
        <f>HYPERLINK("https://otsuka-europe-crm.veevavault.com/ui/#object/sent_email__v/VBL00000000O476", "SE-001391048")</f>
        <v>SE-001391048</v>
      </c>
      <c r="D842" s="4" t="s">
        <v>11</v>
      </c>
      <c r="E842" s="5">
        <v>0</v>
      </c>
      <c r="F842" s="5">
        <v>0</v>
      </c>
      <c r="G842" s="5">
        <v>0</v>
      </c>
      <c r="H842" s="4" t="s">
        <v>11</v>
      </c>
      <c r="I842" s="5">
        <v>0</v>
      </c>
      <c r="J842" s="4">
        <v>45979.675497685188</v>
      </c>
    </row>
    <row r="843" spans="1:10" x14ac:dyDescent="0.2">
      <c r="A843" s="2" t="s">
        <v>10</v>
      </c>
      <c r="B843" s="3" t="str">
        <f t="shared" si="20"/>
        <v>Email instauration Abilify Maintena 960 mg_FR-AM2-2400029</v>
      </c>
      <c r="C843" s="3" t="str">
        <f>HYPERLINK("https://otsuka-europe-crm.veevavault.com/ui/#object/sent_email__v/VBL00000000N552", "SE-001391049")</f>
        <v>SE-001391049</v>
      </c>
      <c r="D843" s="4" t="s">
        <v>11</v>
      </c>
      <c r="E843" s="5">
        <v>0</v>
      </c>
      <c r="F843" s="5">
        <v>0</v>
      </c>
      <c r="G843" s="5">
        <v>0</v>
      </c>
      <c r="H843" s="4" t="s">
        <v>11</v>
      </c>
      <c r="I843" s="5">
        <v>0</v>
      </c>
      <c r="J843" s="4">
        <v>45979.676388888889</v>
      </c>
    </row>
    <row r="844" spans="1:10" x14ac:dyDescent="0.2">
      <c r="A844" s="2" t="s">
        <v>10</v>
      </c>
      <c r="B844" s="3" t="str">
        <f t="shared" si="20"/>
        <v>Email instauration Abilify Maintena 960 mg_FR-AM2-2400029</v>
      </c>
      <c r="C844" s="3" t="str">
        <f>HYPERLINK("https://otsuka-europe-crm.veevavault.com/ui/#object/sent_email__v/VBL00000000O477", "SE-001391050")</f>
        <v>SE-001391050</v>
      </c>
      <c r="D844" s="4" t="s">
        <v>11</v>
      </c>
      <c r="E844" s="5">
        <v>0</v>
      </c>
      <c r="F844" s="5">
        <v>0</v>
      </c>
      <c r="G844" s="5">
        <v>0</v>
      </c>
      <c r="H844" s="4" t="s">
        <v>11</v>
      </c>
      <c r="I844" s="5">
        <v>0</v>
      </c>
      <c r="J844" s="4">
        <v>45979.677083333336</v>
      </c>
    </row>
    <row r="845" spans="1:10" x14ac:dyDescent="0.2">
      <c r="A845" s="2" t="s">
        <v>10</v>
      </c>
      <c r="B845" s="3" t="str">
        <f t="shared" si="20"/>
        <v>Email instauration Abilify Maintena 960 mg_FR-AM2-2400029</v>
      </c>
      <c r="C845" s="3" t="str">
        <f>HYPERLINK("https://otsuka-europe-crm.veevavault.com/ui/#object/sent_email__v/VBL00000000O478", "SE-001391052")</f>
        <v>SE-001391052</v>
      </c>
      <c r="D845" s="4">
        <v>45979.932835648149</v>
      </c>
      <c r="E845" s="5">
        <v>1</v>
      </c>
      <c r="F845" s="5">
        <v>1</v>
      </c>
      <c r="G845" s="5">
        <v>0</v>
      </c>
      <c r="H845" s="4" t="s">
        <v>11</v>
      </c>
      <c r="I845" s="5">
        <v>0</v>
      </c>
      <c r="J845" s="4">
        <v>45979.717094907406</v>
      </c>
    </row>
    <row r="846" spans="1:10" x14ac:dyDescent="0.2">
      <c r="A846" s="2" t="s">
        <v>10</v>
      </c>
      <c r="B846" s="3" t="str">
        <f t="shared" si="20"/>
        <v>Email instauration Abilify Maintena 960 mg_FR-AM2-2400029</v>
      </c>
      <c r="C846" s="3" t="str">
        <f>HYPERLINK("https://otsuka-europe-crm.veevavault.com/ui/#object/sent_email__v/VBL00000000O481", "SE-001391057")</f>
        <v>SE-001391057</v>
      </c>
      <c r="D846" s="4" t="s">
        <v>11</v>
      </c>
      <c r="E846" s="5">
        <v>0</v>
      </c>
      <c r="F846" s="5">
        <v>0</v>
      </c>
      <c r="G846" s="5">
        <v>0</v>
      </c>
      <c r="H846" s="4" t="s">
        <v>11</v>
      </c>
      <c r="I846" s="5">
        <v>0</v>
      </c>
      <c r="J846" s="4">
        <v>45979.766458333332</v>
      </c>
    </row>
    <row r="847" spans="1:10" x14ac:dyDescent="0.2">
      <c r="A847" s="2" t="s">
        <v>10</v>
      </c>
      <c r="B847" s="3" t="str">
        <f t="shared" si="20"/>
        <v>Email instauration Abilify Maintena 960 mg_FR-AM2-2400029</v>
      </c>
      <c r="C847" s="3" t="str">
        <f>HYPERLINK("https://otsuka-europe-crm.veevavault.com/ui/#object/sent_email__v/VBL00000000P069", "SE-001391273")</f>
        <v>SE-001391273</v>
      </c>
      <c r="D847" s="4" t="s">
        <v>11</v>
      </c>
      <c r="E847" s="5">
        <v>0</v>
      </c>
      <c r="F847" s="5">
        <v>0</v>
      </c>
      <c r="G847" s="5">
        <v>0</v>
      </c>
      <c r="H847" s="4" t="s">
        <v>11</v>
      </c>
      <c r="I847" s="5">
        <v>0</v>
      </c>
      <c r="J847" s="4">
        <v>45980.5315625</v>
      </c>
    </row>
    <row r="848" spans="1:10" x14ac:dyDescent="0.2">
      <c r="A848" s="2" t="s">
        <v>10</v>
      </c>
      <c r="B848" s="3" t="str">
        <f t="shared" si="20"/>
        <v>Email instauration Abilify Maintena 960 mg_FR-AM2-2400029</v>
      </c>
      <c r="C848" s="3" t="str">
        <f>HYPERLINK("https://otsuka-europe-crm.veevavault.com/ui/#object/sent_email__v/VBL00000000Q126", "SE-001391277")</f>
        <v>SE-001391277</v>
      </c>
      <c r="D848" s="4">
        <v>45980.660601851851</v>
      </c>
      <c r="E848" s="5">
        <v>1</v>
      </c>
      <c r="F848" s="5">
        <v>5</v>
      </c>
      <c r="G848" s="5">
        <v>0</v>
      </c>
      <c r="H848" s="4" t="s">
        <v>11</v>
      </c>
      <c r="I848" s="5">
        <v>0</v>
      </c>
      <c r="J848" s="4">
        <v>45980.561805555553</v>
      </c>
    </row>
    <row r="849" spans="1:10" x14ac:dyDescent="0.2">
      <c r="A849" s="2" t="s">
        <v>10</v>
      </c>
      <c r="B849" s="3" t="str">
        <f t="shared" si="20"/>
        <v>Email instauration Abilify Maintena 960 mg_FR-AM2-2400029</v>
      </c>
      <c r="C849" s="3" t="str">
        <f>HYPERLINK("https://otsuka-europe-crm.veevavault.com/ui/#object/sent_email__v/VBL00000000P071", "SE-001391283")</f>
        <v>SE-001391283</v>
      </c>
      <c r="D849" s="4" t="s">
        <v>11</v>
      </c>
      <c r="E849" s="5">
        <v>0</v>
      </c>
      <c r="F849" s="5">
        <v>0</v>
      </c>
      <c r="G849" s="5">
        <v>0</v>
      </c>
      <c r="H849" s="4" t="s">
        <v>11</v>
      </c>
      <c r="I849" s="5">
        <v>0</v>
      </c>
      <c r="J849" s="4">
        <v>45980.604189814818</v>
      </c>
    </row>
    <row r="850" spans="1:10" x14ac:dyDescent="0.2">
      <c r="A850" s="2" t="s">
        <v>10</v>
      </c>
      <c r="B850" s="3" t="str">
        <f t="shared" si="20"/>
        <v>Email instauration Abilify Maintena 960 mg_FR-AM2-2400029</v>
      </c>
      <c r="C850" s="3" t="str">
        <f>HYPERLINK("https://otsuka-europe-crm.veevavault.com/ui/#object/sent_email__v/VBL00000000Q134", "SE-001391288")</f>
        <v>SE-001391288</v>
      </c>
      <c r="D850" s="4" t="s">
        <v>11</v>
      </c>
      <c r="E850" s="5">
        <v>0</v>
      </c>
      <c r="F850" s="5">
        <v>0</v>
      </c>
      <c r="G850" s="5">
        <v>0</v>
      </c>
      <c r="H850" s="4" t="s">
        <v>11</v>
      </c>
      <c r="I850" s="5">
        <v>0</v>
      </c>
      <c r="J850" s="4">
        <v>45980.610671296294</v>
      </c>
    </row>
    <row r="851" spans="1:10" x14ac:dyDescent="0.2">
      <c r="A851" s="2" t="s">
        <v>10</v>
      </c>
      <c r="B851" s="3" t="str">
        <f t="shared" si="20"/>
        <v>Email instauration Abilify Maintena 960 mg_FR-AM2-2400029</v>
      </c>
      <c r="C851" s="3" t="str">
        <f>HYPERLINK("https://otsuka-europe-crm.veevavault.com/ui/#object/sent_email__v/VBL00000000P127", "SE-001391439")</f>
        <v>SE-001391439</v>
      </c>
      <c r="D851" s="4">
        <v>45981.714768518519</v>
      </c>
      <c r="E851" s="5">
        <v>1</v>
      </c>
      <c r="F851" s="5">
        <v>1</v>
      </c>
      <c r="G851" s="5">
        <v>0</v>
      </c>
      <c r="H851" s="4" t="s">
        <v>11</v>
      </c>
      <c r="I851" s="5">
        <v>0</v>
      </c>
      <c r="J851" s="4">
        <v>45981.703611111108</v>
      </c>
    </row>
    <row r="852" spans="1:10" x14ac:dyDescent="0.2">
      <c r="A852" s="2" t="s">
        <v>10</v>
      </c>
      <c r="B852" s="3" t="str">
        <f t="shared" si="20"/>
        <v>Email instauration Abilify Maintena 960 mg_FR-AM2-2400029</v>
      </c>
      <c r="C852" s="3" t="str">
        <f>HYPERLINK("https://otsuka-europe-crm.veevavault.com/ui/#object/sent_email__v/VBL00000000Q246", "SE-001391469")</f>
        <v>SE-001391469</v>
      </c>
      <c r="D852" s="4" t="s">
        <v>11</v>
      </c>
      <c r="E852" s="5">
        <v>0</v>
      </c>
      <c r="F852" s="5">
        <v>0</v>
      </c>
      <c r="G852" s="5">
        <v>0</v>
      </c>
      <c r="H852" s="4" t="s">
        <v>11</v>
      </c>
      <c r="I852" s="5">
        <v>0</v>
      </c>
      <c r="J852" s="4">
        <v>45981.806932870371</v>
      </c>
    </row>
    <row r="853" spans="1:10" x14ac:dyDescent="0.2">
      <c r="A853" s="2" t="s">
        <v>10</v>
      </c>
      <c r="B853" s="3" t="str">
        <f t="shared" si="20"/>
        <v>Email instauration Abilify Maintena 960 mg_FR-AM2-2400029</v>
      </c>
      <c r="C853" s="3" t="str">
        <f>HYPERLINK("https://otsuka-europe-crm.veevavault.com/ui/#object/sent_email__v/VBL00000000P153", "SE-001391470")</f>
        <v>SE-001391470</v>
      </c>
      <c r="D853" s="4" t="s">
        <v>11</v>
      </c>
      <c r="E853" s="5">
        <v>0</v>
      </c>
      <c r="F853" s="5">
        <v>0</v>
      </c>
      <c r="G853" s="5">
        <v>0</v>
      </c>
      <c r="H853" s="4" t="s">
        <v>11</v>
      </c>
      <c r="I853" s="5">
        <v>0</v>
      </c>
      <c r="J853" s="4">
        <v>45981.808645833335</v>
      </c>
    </row>
    <row r="854" spans="1:10" x14ac:dyDescent="0.2">
      <c r="A854" s="2" t="s">
        <v>10</v>
      </c>
      <c r="B854" s="3" t="str">
        <f t="shared" si="20"/>
        <v>Email instauration Abilify Maintena 960 mg_FR-AM2-2400029</v>
      </c>
      <c r="C854" s="3" t="str">
        <f>HYPERLINK("https://otsuka-europe-crm.veevavault.com/ui/#object/sent_email__v/VBL00000000P155", "SE-001391473")</f>
        <v>SE-001391473</v>
      </c>
      <c r="D854" s="4" t="s">
        <v>11</v>
      </c>
      <c r="E854" s="5">
        <v>0</v>
      </c>
      <c r="F854" s="5">
        <v>0</v>
      </c>
      <c r="G854" s="5">
        <v>0</v>
      </c>
      <c r="H854" s="4" t="s">
        <v>11</v>
      </c>
      <c r="I854" s="5">
        <v>0</v>
      </c>
      <c r="J854" s="4">
        <v>45982.339201388888</v>
      </c>
    </row>
    <row r="855" spans="1:10" x14ac:dyDescent="0.2">
      <c r="A855" s="2" t="s">
        <v>10</v>
      </c>
      <c r="B855" s="3" t="str">
        <f t="shared" si="20"/>
        <v>Email instauration Abilify Maintena 960 mg_FR-AM2-2400029</v>
      </c>
      <c r="C855" s="3" t="str">
        <f>HYPERLINK("https://otsuka-europe-crm.veevavault.com/ui/#object/sent_email__v/VBL00000000P193", "SE-001391532")</f>
        <v>SE-001391532</v>
      </c>
      <c r="D855" s="4" t="s">
        <v>11</v>
      </c>
      <c r="E855" s="5">
        <v>0</v>
      </c>
      <c r="F855" s="5">
        <v>0</v>
      </c>
      <c r="G855" s="5">
        <v>0</v>
      </c>
      <c r="H855" s="4" t="s">
        <v>11</v>
      </c>
      <c r="I855" s="5">
        <v>0</v>
      </c>
      <c r="J855" s="4">
        <v>45982.480879629627</v>
      </c>
    </row>
    <row r="856" spans="1:10" x14ac:dyDescent="0.2">
      <c r="A856" s="2" t="s">
        <v>10</v>
      </c>
      <c r="B856" s="3" t="str">
        <f t="shared" si="20"/>
        <v>Email instauration Abilify Maintena 960 mg_FR-AM2-2400029</v>
      </c>
      <c r="C856" s="3" t="str">
        <f>HYPERLINK("https://otsuka-europe-crm.veevavault.com/ui/#object/sent_email__v/VBL00000000Q282", "SE-001391538")</f>
        <v>SE-001391538</v>
      </c>
      <c r="D856" s="4">
        <v>45982.667731481481</v>
      </c>
      <c r="E856" s="5">
        <v>1</v>
      </c>
      <c r="F856" s="5">
        <v>2</v>
      </c>
      <c r="G856" s="5">
        <v>0</v>
      </c>
      <c r="H856" s="4" t="s">
        <v>11</v>
      </c>
      <c r="I856" s="5">
        <v>0</v>
      </c>
      <c r="J856" s="4">
        <v>45982.649606481478</v>
      </c>
    </row>
    <row r="857" spans="1:10" x14ac:dyDescent="0.2">
      <c r="A857" s="2" t="s">
        <v>10</v>
      </c>
      <c r="B857" s="3" t="str">
        <f t="shared" si="20"/>
        <v>Email instauration Abilify Maintena 960 mg_FR-AM2-2400029</v>
      </c>
      <c r="C857" s="3" t="str">
        <f>HYPERLINK("https://otsuka-europe-crm.veevavault.com/ui/#object/sent_email__v/VBL00000000Q283", "SE-001391539")</f>
        <v>SE-001391539</v>
      </c>
      <c r="D857" s="4" t="s">
        <v>11</v>
      </c>
      <c r="E857" s="5">
        <v>0</v>
      </c>
      <c r="F857" s="5">
        <v>0</v>
      </c>
      <c r="G857" s="5">
        <v>0</v>
      </c>
      <c r="H857" s="4" t="s">
        <v>11</v>
      </c>
      <c r="I857" s="5">
        <v>0</v>
      </c>
      <c r="J857" s="4">
        <v>45982.650266203702</v>
      </c>
    </row>
    <row r="858" spans="1:10" x14ac:dyDescent="0.2">
      <c r="A858" s="2" t="s">
        <v>10</v>
      </c>
      <c r="B858" s="3" t="str">
        <f t="shared" si="20"/>
        <v>Email instauration Abilify Maintena 960 mg_FR-AM2-2400029</v>
      </c>
      <c r="C858" s="3" t="str">
        <f>HYPERLINK("https://otsuka-europe-crm.veevavault.com/ui/#object/sent_email__v/VBL00000000P198", "SE-001391540")</f>
        <v>SE-001391540</v>
      </c>
      <c r="D858" s="4" t="s">
        <v>11</v>
      </c>
      <c r="E858" s="5">
        <v>0</v>
      </c>
      <c r="F858" s="5">
        <v>0</v>
      </c>
      <c r="G858" s="5">
        <v>0</v>
      </c>
      <c r="H858" s="4" t="s">
        <v>11</v>
      </c>
      <c r="I858" s="5">
        <v>0</v>
      </c>
      <c r="J858" s="4">
        <v>45982.650509259256</v>
      </c>
    </row>
    <row r="859" spans="1:10" x14ac:dyDescent="0.2">
      <c r="A859" s="2" t="s">
        <v>10</v>
      </c>
      <c r="B859" s="3" t="str">
        <f t="shared" si="20"/>
        <v>Email instauration Abilify Maintena 960 mg_FR-AM2-2400029</v>
      </c>
      <c r="C859" s="3" t="str">
        <f>HYPERLINK("https://otsuka-europe-crm.veevavault.com/ui/#object/sent_email__v/VBL00000000R176", "SE-001391759")</f>
        <v>SE-001391759</v>
      </c>
      <c r="D859" s="4">
        <v>45994.339780092596</v>
      </c>
      <c r="E859" s="5">
        <v>1</v>
      </c>
      <c r="F859" s="5">
        <v>1</v>
      </c>
      <c r="G859" s="5">
        <v>0</v>
      </c>
      <c r="H859" s="4" t="s">
        <v>11</v>
      </c>
      <c r="I859" s="5">
        <v>0</v>
      </c>
      <c r="J859" s="4">
        <v>45985.510104166664</v>
      </c>
    </row>
    <row r="860" spans="1:10" x14ac:dyDescent="0.2">
      <c r="A860" s="2" t="s">
        <v>10</v>
      </c>
      <c r="B860" s="3" t="str">
        <f t="shared" si="20"/>
        <v>Email instauration Abilify Maintena 960 mg_FR-AM2-2400029</v>
      </c>
      <c r="C860" s="3" t="str">
        <f>HYPERLINK("https://otsuka-europe-crm.veevavault.com/ui/#object/sent_email__v/VBL00000000R198", "SE-001391785")</f>
        <v>SE-001391785</v>
      </c>
      <c r="D860" s="4" t="s">
        <v>11</v>
      </c>
      <c r="E860" s="5">
        <v>0</v>
      </c>
      <c r="F860" s="5">
        <v>0</v>
      </c>
      <c r="G860" s="5">
        <v>0</v>
      </c>
      <c r="H860" s="4" t="s">
        <v>11</v>
      </c>
      <c r="I860" s="5">
        <v>0</v>
      </c>
      <c r="J860" s="4">
        <v>45985.62122685185</v>
      </c>
    </row>
    <row r="861" spans="1:10" x14ac:dyDescent="0.2">
      <c r="A861" s="2" t="s">
        <v>10</v>
      </c>
      <c r="B861" s="3" t="str">
        <f t="shared" si="20"/>
        <v>Email instauration Abilify Maintena 960 mg_FR-AM2-2400029</v>
      </c>
      <c r="C861" s="3" t="str">
        <f>HYPERLINK("https://otsuka-europe-crm.veevavault.com/ui/#object/sent_email__v/VBL00000000R203", "SE-001391793")</f>
        <v>SE-001391793</v>
      </c>
      <c r="D861" s="4" t="s">
        <v>11</v>
      </c>
      <c r="E861" s="5">
        <v>0</v>
      </c>
      <c r="F861" s="5">
        <v>0</v>
      </c>
      <c r="G861" s="5">
        <v>0</v>
      </c>
      <c r="H861" s="4" t="s">
        <v>11</v>
      </c>
      <c r="I861" s="5">
        <v>0</v>
      </c>
      <c r="J861" s="4">
        <v>45985.702800925923</v>
      </c>
    </row>
    <row r="862" spans="1:10" x14ac:dyDescent="0.2">
      <c r="A862" s="2" t="s">
        <v>10</v>
      </c>
      <c r="B862" s="3" t="str">
        <f t="shared" si="20"/>
        <v>Email instauration Abilify Maintena 960 mg_FR-AM2-2400029</v>
      </c>
      <c r="C862" s="3" t="str">
        <f>HYPERLINK("https://otsuka-europe-crm.veevavault.com/ui/#object/sent_email__v/VBL00000000R204", "SE-001391795")</f>
        <v>SE-001391795</v>
      </c>
      <c r="D862" s="4">
        <v>45986.314351851855</v>
      </c>
      <c r="E862" s="5">
        <v>1</v>
      </c>
      <c r="F862" s="5">
        <v>1</v>
      </c>
      <c r="G862" s="5">
        <v>0</v>
      </c>
      <c r="H862" s="4" t="s">
        <v>11</v>
      </c>
      <c r="I862" s="5">
        <v>0</v>
      </c>
      <c r="J862" s="4">
        <v>45985.703865740739</v>
      </c>
    </row>
    <row r="863" spans="1:10" x14ac:dyDescent="0.2">
      <c r="A863" s="2" t="s">
        <v>10</v>
      </c>
      <c r="B863" s="3" t="str">
        <f t="shared" si="20"/>
        <v>Email instauration Abilify Maintena 960 mg_FR-AM2-2400029</v>
      </c>
      <c r="C863" s="3" t="str">
        <f>HYPERLINK("https://otsuka-europe-crm.veevavault.com/ui/#object/sent_email__v/VBL00000000S116", "SE-001391902")</f>
        <v>SE-001391902</v>
      </c>
      <c r="D863" s="4" t="s">
        <v>11</v>
      </c>
      <c r="E863" s="5">
        <v>0</v>
      </c>
      <c r="F863" s="5">
        <v>0</v>
      </c>
      <c r="G863" s="5">
        <v>0</v>
      </c>
      <c r="H863" s="4" t="s">
        <v>11</v>
      </c>
      <c r="I863" s="5">
        <v>0</v>
      </c>
      <c r="J863" s="4">
        <v>45986.644212962965</v>
      </c>
    </row>
    <row r="864" spans="1:10" x14ac:dyDescent="0.2">
      <c r="A864" s="2" t="s">
        <v>10</v>
      </c>
      <c r="B864" s="3" t="str">
        <f t="shared" si="20"/>
        <v>Email instauration Abilify Maintena 960 mg_FR-AM2-2400029</v>
      </c>
      <c r="C864" s="3" t="str">
        <f>HYPERLINK("https://otsuka-europe-crm.veevavault.com/ui/#object/sent_email__v/VBL00000000S118", "SE-001391904")</f>
        <v>SE-001391904</v>
      </c>
      <c r="D864" s="4" t="s">
        <v>11</v>
      </c>
      <c r="E864" s="5">
        <v>0</v>
      </c>
      <c r="F864" s="5">
        <v>0</v>
      </c>
      <c r="G864" s="5">
        <v>0</v>
      </c>
      <c r="H864" s="4" t="s">
        <v>11</v>
      </c>
      <c r="I864" s="5">
        <v>0</v>
      </c>
      <c r="J864" s="4">
        <v>45986.644305555557</v>
      </c>
    </row>
    <row r="865" spans="1:10" x14ac:dyDescent="0.2">
      <c r="A865" s="2" t="s">
        <v>10</v>
      </c>
      <c r="B865" s="3" t="str">
        <f t="shared" si="20"/>
        <v>Email instauration Abilify Maintena 960 mg_FR-AM2-2400029</v>
      </c>
      <c r="C865" s="3" t="str">
        <f>HYPERLINK("https://otsuka-europe-crm.veevavault.com/ui/#object/sent_email__v/VBL00000000S119", "SE-001391906")</f>
        <v>SE-001391906</v>
      </c>
      <c r="D865" s="4">
        <v>45999.760104166664</v>
      </c>
      <c r="E865" s="5">
        <v>1</v>
      </c>
      <c r="F865" s="5">
        <v>4</v>
      </c>
      <c r="G865" s="5">
        <v>0</v>
      </c>
      <c r="H865" s="4" t="s">
        <v>11</v>
      </c>
      <c r="I865" s="5">
        <v>0</v>
      </c>
      <c r="J865" s="4">
        <v>45986.648692129631</v>
      </c>
    </row>
    <row r="866" spans="1:10" x14ac:dyDescent="0.2">
      <c r="A866" s="2" t="s">
        <v>10</v>
      </c>
      <c r="B866" s="3" t="str">
        <f t="shared" si="20"/>
        <v>Email instauration Abilify Maintena 960 mg_FR-AM2-2400029</v>
      </c>
      <c r="C866" s="3" t="str">
        <f>HYPERLINK("https://otsuka-europe-crm.veevavault.com/ui/#object/sent_email__v/VBL00000000S158", "SE-001391948")</f>
        <v>SE-001391948</v>
      </c>
      <c r="D866" s="4">
        <v>45987.909444444442</v>
      </c>
      <c r="E866" s="5">
        <v>1</v>
      </c>
      <c r="F866" s="5">
        <v>2</v>
      </c>
      <c r="G866" s="5">
        <v>0</v>
      </c>
      <c r="H866" s="4" t="s">
        <v>11</v>
      </c>
      <c r="I866" s="5">
        <v>0</v>
      </c>
      <c r="J866" s="4">
        <v>45987.690625000003</v>
      </c>
    </row>
    <row r="867" spans="1:10" x14ac:dyDescent="0.2">
      <c r="A867" s="2" t="s">
        <v>10</v>
      </c>
      <c r="B867" s="3" t="str">
        <f t="shared" si="20"/>
        <v>Email instauration Abilify Maintena 960 mg_FR-AM2-2400029</v>
      </c>
      <c r="C867" s="3" t="str">
        <f>HYPERLINK("https://otsuka-europe-crm.veevavault.com/ui/#object/sent_email__v/VBL00000000R315", "SE-001391950")</f>
        <v>SE-001391950</v>
      </c>
      <c r="D867" s="4" t="s">
        <v>11</v>
      </c>
      <c r="E867" s="5">
        <v>0</v>
      </c>
      <c r="F867" s="5">
        <v>0</v>
      </c>
      <c r="G867" s="5">
        <v>0</v>
      </c>
      <c r="H867" s="4" t="s">
        <v>11</v>
      </c>
      <c r="I867" s="5">
        <v>0</v>
      </c>
      <c r="J867" s="4">
        <v>45987.754548611112</v>
      </c>
    </row>
    <row r="868" spans="1:10" x14ac:dyDescent="0.2">
      <c r="A868" s="2" t="s">
        <v>10</v>
      </c>
      <c r="B868" s="3" t="str">
        <f t="shared" si="20"/>
        <v>Email instauration Abilify Maintena 960 mg_FR-AM2-2400029</v>
      </c>
      <c r="C868" s="3" t="str">
        <f>HYPERLINK("https://otsuka-europe-crm.veevavault.com/ui/#object/sent_email__v/VBL00000000R316", "SE-001391951")</f>
        <v>SE-001391951</v>
      </c>
      <c r="D868" s="4" t="s">
        <v>11</v>
      </c>
      <c r="E868" s="5">
        <v>0</v>
      </c>
      <c r="F868" s="5">
        <v>0</v>
      </c>
      <c r="G868" s="5">
        <v>0</v>
      </c>
      <c r="H868" s="4" t="s">
        <v>11</v>
      </c>
      <c r="I868" s="5">
        <v>0</v>
      </c>
      <c r="J868" s="4">
        <v>45987.754849537036</v>
      </c>
    </row>
    <row r="869" spans="1:10" x14ac:dyDescent="0.2">
      <c r="A869" s="2" t="s">
        <v>10</v>
      </c>
      <c r="B869" s="3" t="str">
        <f t="shared" si="20"/>
        <v>Email instauration Abilify Maintena 960 mg_FR-AM2-2400029</v>
      </c>
      <c r="C869" s="3" t="str">
        <f>HYPERLINK("https://otsuka-europe-crm.veevavault.com/ui/#object/sent_email__v/VBL00000000R317", "SE-001391952")</f>
        <v>SE-001391952</v>
      </c>
      <c r="D869" s="4" t="s">
        <v>11</v>
      </c>
      <c r="E869" s="5">
        <v>0</v>
      </c>
      <c r="F869" s="5">
        <v>0</v>
      </c>
      <c r="G869" s="5">
        <v>0</v>
      </c>
      <c r="H869" s="4" t="s">
        <v>11</v>
      </c>
      <c r="I869" s="5">
        <v>0</v>
      </c>
      <c r="J869" s="4">
        <v>45987.754953703705</v>
      </c>
    </row>
    <row r="870" spans="1:10" x14ac:dyDescent="0.2">
      <c r="A870" s="2" t="s">
        <v>10</v>
      </c>
      <c r="B870" s="3" t="str">
        <f t="shared" si="20"/>
        <v>Email instauration Abilify Maintena 960 mg_FR-AM2-2400029</v>
      </c>
      <c r="C870" s="3" t="str">
        <f>HYPERLINK("https://otsuka-europe-crm.veevavault.com/ui/#object/sent_email__v/VBL00000000S190", "SE-001391958")</f>
        <v>SE-001391958</v>
      </c>
      <c r="D870" s="4" t="s">
        <v>11</v>
      </c>
      <c r="E870" s="5">
        <v>0</v>
      </c>
      <c r="F870" s="5">
        <v>0</v>
      </c>
      <c r="G870" s="5">
        <v>0</v>
      </c>
      <c r="H870" s="4" t="s">
        <v>11</v>
      </c>
      <c r="I870" s="5">
        <v>0</v>
      </c>
      <c r="J870" s="4">
        <v>45988.395821759259</v>
      </c>
    </row>
    <row r="871" spans="1:10" x14ac:dyDescent="0.2">
      <c r="A871" s="2" t="s">
        <v>10</v>
      </c>
      <c r="B871" s="3" t="str">
        <f t="shared" si="20"/>
        <v>Email instauration Abilify Maintena 960 mg_FR-AM2-2400029</v>
      </c>
      <c r="C871" s="3" t="str">
        <f>HYPERLINK("https://otsuka-europe-crm.veevavault.com/ui/#object/sent_email__v/VBL00000000R327", "SE-001391959")</f>
        <v>SE-001391959</v>
      </c>
      <c r="D871" s="4">
        <v>45988.839548611111</v>
      </c>
      <c r="E871" s="5">
        <v>1</v>
      </c>
      <c r="F871" s="5">
        <v>1</v>
      </c>
      <c r="G871" s="5">
        <v>0</v>
      </c>
      <c r="H871" s="4" t="s">
        <v>11</v>
      </c>
      <c r="I871" s="5">
        <v>0</v>
      </c>
      <c r="J871" s="4">
        <v>45988.406793981485</v>
      </c>
    </row>
    <row r="872" spans="1:10" x14ac:dyDescent="0.2">
      <c r="A872" s="2" t="s">
        <v>10</v>
      </c>
      <c r="B872" s="3" t="str">
        <f t="shared" si="20"/>
        <v>Email instauration Abilify Maintena 960 mg_FR-AM2-2400029</v>
      </c>
      <c r="C872" s="3" t="str">
        <f>HYPERLINK("https://otsuka-europe-crm.veevavault.com/ui/#object/sent_email__v/VBL00000000S199", "SE-001392008")</f>
        <v>SE-001392008</v>
      </c>
      <c r="D872" s="4" t="s">
        <v>11</v>
      </c>
      <c r="E872" s="5">
        <v>0</v>
      </c>
      <c r="F872" s="5">
        <v>0</v>
      </c>
      <c r="G872" s="5">
        <v>0</v>
      </c>
      <c r="H872" s="4" t="s">
        <v>11</v>
      </c>
      <c r="I872" s="5">
        <v>0</v>
      </c>
      <c r="J872" s="4">
        <v>45988.558495370373</v>
      </c>
    </row>
    <row r="873" spans="1:10" x14ac:dyDescent="0.2">
      <c r="A873" s="2" t="s">
        <v>10</v>
      </c>
      <c r="B873" s="3" t="str">
        <f t="shared" si="20"/>
        <v>Email instauration Abilify Maintena 960 mg_FR-AM2-2400029</v>
      </c>
      <c r="C873" s="3" t="str">
        <f>HYPERLINK("https://otsuka-europe-crm.veevavault.com/ui/#object/sent_email__v/VBL00000000R371", "SE-001392009")</f>
        <v>SE-001392009</v>
      </c>
      <c r="D873" s="4" t="s">
        <v>11</v>
      </c>
      <c r="E873" s="5">
        <v>0</v>
      </c>
      <c r="F873" s="5">
        <v>0</v>
      </c>
      <c r="G873" s="5">
        <v>0</v>
      </c>
      <c r="H873" s="4" t="s">
        <v>11</v>
      </c>
      <c r="I873" s="5">
        <v>0</v>
      </c>
      <c r="J873" s="4">
        <v>45988.558668981481</v>
      </c>
    </row>
    <row r="874" spans="1:10" x14ac:dyDescent="0.2">
      <c r="A874" s="2" t="s">
        <v>10</v>
      </c>
      <c r="B874" s="3" t="str">
        <f t="shared" si="20"/>
        <v>Email instauration Abilify Maintena 960 mg_FR-AM2-2400029</v>
      </c>
      <c r="C874" s="3" t="str">
        <f>HYPERLINK("https://otsuka-europe-crm.veevavault.com/ui/#object/sent_email__v/VBL00000000R378", "SE-001392017")</f>
        <v>SE-001392017</v>
      </c>
      <c r="D874" s="4" t="s">
        <v>11</v>
      </c>
      <c r="E874" s="5">
        <v>0</v>
      </c>
      <c r="F874" s="5">
        <v>0</v>
      </c>
      <c r="G874" s="5">
        <v>0</v>
      </c>
      <c r="H874" s="4" t="s">
        <v>11</v>
      </c>
      <c r="I874" s="5">
        <v>0</v>
      </c>
      <c r="J874" s="4">
        <v>45988.648356481484</v>
      </c>
    </row>
    <row r="875" spans="1:10" x14ac:dyDescent="0.2">
      <c r="A875" s="2" t="s">
        <v>10</v>
      </c>
      <c r="B875" s="3" t="str">
        <f t="shared" si="20"/>
        <v>Email instauration Abilify Maintena 960 mg_FR-AM2-2400029</v>
      </c>
      <c r="C875" s="3" t="str">
        <f>HYPERLINK("https://otsuka-europe-crm.veevavault.com/ui/#object/sent_email__v/VBL00000000S202", "SE-001392018")</f>
        <v>SE-001392018</v>
      </c>
      <c r="D875" s="4" t="s">
        <v>11</v>
      </c>
      <c r="E875" s="5">
        <v>0</v>
      </c>
      <c r="F875" s="5">
        <v>0</v>
      </c>
      <c r="G875" s="5">
        <v>0</v>
      </c>
      <c r="H875" s="4" t="s">
        <v>11</v>
      </c>
      <c r="I875" s="5">
        <v>0</v>
      </c>
      <c r="J875" s="4">
        <v>45988.658912037034</v>
      </c>
    </row>
    <row r="876" spans="1:10" x14ac:dyDescent="0.2">
      <c r="A876" s="2" t="s">
        <v>10</v>
      </c>
      <c r="B876" s="3" t="str">
        <f t="shared" si="20"/>
        <v>Email instauration Abilify Maintena 960 mg_FR-AM2-2400029</v>
      </c>
      <c r="C876" s="3" t="str">
        <f>HYPERLINK("https://otsuka-europe-crm.veevavault.com/ui/#object/sent_email__v/VBL00000000S203", "SE-001392019")</f>
        <v>SE-001392019</v>
      </c>
      <c r="D876" s="4" t="s">
        <v>11</v>
      </c>
      <c r="E876" s="5">
        <v>0</v>
      </c>
      <c r="F876" s="5">
        <v>0</v>
      </c>
      <c r="G876" s="5">
        <v>0</v>
      </c>
      <c r="H876" s="4" t="s">
        <v>11</v>
      </c>
      <c r="I876" s="5">
        <v>0</v>
      </c>
      <c r="J876" s="4">
        <v>45988.658912037034</v>
      </c>
    </row>
    <row r="877" spans="1:10" x14ac:dyDescent="0.2">
      <c r="A877" s="2" t="s">
        <v>10</v>
      </c>
      <c r="B877" s="3" t="str">
        <f t="shared" ref="B877:B940" si="21">HYPERLINK("https://otsuka-europe-crm.veevavault.com/ui/#object/approved_document__v/V5OZ025E82N8159", "Email instauration Abilify Maintena 960 mg_FR-AM2-2400029")</f>
        <v>Email instauration Abilify Maintena 960 mg_FR-AM2-2400029</v>
      </c>
      <c r="C877" s="3" t="str">
        <f>HYPERLINK("https://otsuka-europe-crm.veevavault.com/ui/#object/sent_email__v/VBL00000000U040", "SE-001394360")</f>
        <v>SE-001394360</v>
      </c>
      <c r="D877" s="4" t="s">
        <v>11</v>
      </c>
      <c r="E877" s="5">
        <v>0</v>
      </c>
      <c r="F877" s="5">
        <v>0</v>
      </c>
      <c r="G877" s="5">
        <v>0</v>
      </c>
      <c r="H877" s="4" t="s">
        <v>11</v>
      </c>
      <c r="I877" s="5">
        <v>0</v>
      </c>
      <c r="J877" s="4">
        <v>45992.543888888889</v>
      </c>
    </row>
    <row r="878" spans="1:10" x14ac:dyDescent="0.2">
      <c r="A878" s="2" t="s">
        <v>10</v>
      </c>
      <c r="B878" s="3" t="str">
        <f t="shared" si="21"/>
        <v>Email instauration Abilify Maintena 960 mg_FR-AM2-2400029</v>
      </c>
      <c r="C878" s="3" t="str">
        <f>HYPERLINK("https://otsuka-europe-crm.veevavault.com/ui/#object/sent_email__v/VBL00000000R974", "SE-001394406")</f>
        <v>SE-001394406</v>
      </c>
      <c r="D878" s="4" t="s">
        <v>11</v>
      </c>
      <c r="E878" s="5">
        <v>0</v>
      </c>
      <c r="F878" s="5">
        <v>0</v>
      </c>
      <c r="G878" s="5">
        <v>0</v>
      </c>
      <c r="H878" s="4" t="s">
        <v>11</v>
      </c>
      <c r="I878" s="5">
        <v>0</v>
      </c>
      <c r="J878" s="4">
        <v>45992.685601851852</v>
      </c>
    </row>
    <row r="879" spans="1:10" x14ac:dyDescent="0.2">
      <c r="A879" s="2" t="s">
        <v>10</v>
      </c>
      <c r="B879" s="3" t="str">
        <f t="shared" si="21"/>
        <v>Email instauration Abilify Maintena 960 mg_FR-AM2-2400029</v>
      </c>
      <c r="C879" s="3" t="str">
        <f>HYPERLINK("https://otsuka-europe-crm.veevavault.com/ui/#object/sent_email__v/VBL00000000U060", "SE-001394407")</f>
        <v>SE-001394407</v>
      </c>
      <c r="D879" s="4" t="s">
        <v>11</v>
      </c>
      <c r="E879" s="5">
        <v>0</v>
      </c>
      <c r="F879" s="5">
        <v>0</v>
      </c>
      <c r="G879" s="5">
        <v>0</v>
      </c>
      <c r="H879" s="4" t="s">
        <v>11</v>
      </c>
      <c r="I879" s="5">
        <v>0</v>
      </c>
      <c r="J879" s="4">
        <v>45992.686481481483</v>
      </c>
    </row>
    <row r="880" spans="1:10" x14ac:dyDescent="0.2">
      <c r="A880" s="2" t="s">
        <v>10</v>
      </c>
      <c r="B880" s="3" t="str">
        <f t="shared" si="21"/>
        <v>Email instauration Abilify Maintena 960 mg_FR-AM2-2400029</v>
      </c>
      <c r="C880" s="3" t="str">
        <f>HYPERLINK("https://otsuka-europe-crm.veevavault.com/ui/#object/sent_email__v/VBL00000000U377", "SE-001394798")</f>
        <v>SE-001394798</v>
      </c>
      <c r="D880" s="4" t="s">
        <v>11</v>
      </c>
      <c r="E880" s="5">
        <v>0</v>
      </c>
      <c r="F880" s="5">
        <v>0</v>
      </c>
      <c r="G880" s="5">
        <v>0</v>
      </c>
      <c r="H880" s="4" t="s">
        <v>11</v>
      </c>
      <c r="I880" s="5">
        <v>0</v>
      </c>
      <c r="J880" s="4">
        <v>45994.345300925925</v>
      </c>
    </row>
    <row r="881" spans="1:10" x14ac:dyDescent="0.2">
      <c r="A881" s="2" t="s">
        <v>10</v>
      </c>
      <c r="B881" s="3" t="str">
        <f t="shared" si="21"/>
        <v>Email instauration Abilify Maintena 960 mg_FR-AM2-2400029</v>
      </c>
      <c r="C881" s="3" t="str">
        <f>HYPERLINK("https://otsuka-europe-crm.veevavault.com/ui/#object/sent_email__v/VBL00000000U390", "SE-001394826")</f>
        <v>SE-001394826</v>
      </c>
      <c r="D881" s="4" t="s">
        <v>11</v>
      </c>
      <c r="E881" s="5">
        <v>0</v>
      </c>
      <c r="F881" s="5">
        <v>0</v>
      </c>
      <c r="G881" s="5">
        <v>0</v>
      </c>
      <c r="H881" s="4" t="s">
        <v>11</v>
      </c>
      <c r="I881" s="5">
        <v>0</v>
      </c>
      <c r="J881" s="4">
        <v>45994.57271990741</v>
      </c>
    </row>
    <row r="882" spans="1:10" x14ac:dyDescent="0.2">
      <c r="A882" s="2" t="s">
        <v>10</v>
      </c>
      <c r="B882" s="3" t="str">
        <f t="shared" si="21"/>
        <v>Email instauration Abilify Maintena 960 mg_FR-AM2-2400029</v>
      </c>
      <c r="C882" s="3" t="str">
        <f>HYPERLINK("https://otsuka-europe-crm.veevavault.com/ui/#object/sent_email__v/VBL00000000U407", "SE-001394850")</f>
        <v>SE-001394850</v>
      </c>
      <c r="D882" s="4" t="s">
        <v>11</v>
      </c>
      <c r="E882" s="5">
        <v>0</v>
      </c>
      <c r="F882" s="5">
        <v>0</v>
      </c>
      <c r="G882" s="5">
        <v>0</v>
      </c>
      <c r="H882" s="4" t="s">
        <v>11</v>
      </c>
      <c r="I882" s="5">
        <v>0</v>
      </c>
      <c r="J882" s="4">
        <v>45994.588171296295</v>
      </c>
    </row>
    <row r="883" spans="1:10" x14ac:dyDescent="0.2">
      <c r="A883" s="2" t="s">
        <v>10</v>
      </c>
      <c r="B883" s="3" t="str">
        <f t="shared" si="21"/>
        <v>Email instauration Abilify Maintena 960 mg_FR-AM2-2400029</v>
      </c>
      <c r="C883" s="3" t="str">
        <f>HYPERLINK("https://otsuka-europe-crm.veevavault.com/ui/#object/sent_email__v/VBL00000000V077", "SE-001394852")</f>
        <v>SE-001394852</v>
      </c>
      <c r="D883" s="4" t="s">
        <v>11</v>
      </c>
      <c r="E883" s="5">
        <v>0</v>
      </c>
      <c r="F883" s="5">
        <v>0</v>
      </c>
      <c r="G883" s="5">
        <v>0</v>
      </c>
      <c r="H883" s="4" t="s">
        <v>11</v>
      </c>
      <c r="I883" s="5">
        <v>0</v>
      </c>
      <c r="J883" s="4">
        <v>45994.589409722219</v>
      </c>
    </row>
    <row r="884" spans="1:10" x14ac:dyDescent="0.2">
      <c r="A884" s="2" t="s">
        <v>10</v>
      </c>
      <c r="B884" s="3" t="str">
        <f t="shared" si="21"/>
        <v>Email instauration Abilify Maintena 960 mg_FR-AM2-2400029</v>
      </c>
      <c r="C884" s="3" t="str">
        <f>HYPERLINK("https://otsuka-europe-crm.veevavault.com/ui/#object/sent_email__v/VBL00000000V078", "SE-001394855")</f>
        <v>SE-001394855</v>
      </c>
      <c r="D884" s="4" t="s">
        <v>11</v>
      </c>
      <c r="E884" s="5">
        <v>0</v>
      </c>
      <c r="F884" s="5">
        <v>0</v>
      </c>
      <c r="G884" s="5">
        <v>0</v>
      </c>
      <c r="H884" s="4" t="s">
        <v>11</v>
      </c>
      <c r="I884" s="5">
        <v>0</v>
      </c>
      <c r="J884" s="4">
        <v>45994.593425925923</v>
      </c>
    </row>
    <row r="885" spans="1:10" x14ac:dyDescent="0.2">
      <c r="A885" s="2" t="s">
        <v>10</v>
      </c>
      <c r="B885" s="3" t="str">
        <f t="shared" si="21"/>
        <v>Email instauration Abilify Maintena 960 mg_FR-AM2-2400029</v>
      </c>
      <c r="C885" s="3" t="str">
        <f>HYPERLINK("https://otsuka-europe-crm.veevavault.com/ui/#object/sent_email__v/VBL00000000U412", "SE-001394866")</f>
        <v>SE-001394866</v>
      </c>
      <c r="D885" s="4" t="s">
        <v>11</v>
      </c>
      <c r="E885" s="5">
        <v>0</v>
      </c>
      <c r="F885" s="5">
        <v>0</v>
      </c>
      <c r="G885" s="5">
        <v>0</v>
      </c>
      <c r="H885" s="4" t="s">
        <v>11</v>
      </c>
      <c r="I885" s="5">
        <v>0</v>
      </c>
      <c r="J885" s="4">
        <v>45994.643506944441</v>
      </c>
    </row>
    <row r="886" spans="1:10" x14ac:dyDescent="0.2">
      <c r="A886" s="2" t="s">
        <v>10</v>
      </c>
      <c r="B886" s="3" t="str">
        <f t="shared" si="21"/>
        <v>Email instauration Abilify Maintena 960 mg_FR-AM2-2400029</v>
      </c>
      <c r="C886" s="3" t="str">
        <f>HYPERLINK("https://otsuka-europe-crm.veevavault.com/ui/#object/sent_email__v/VBL00000000V087", "SE-001394867")</f>
        <v>SE-001394867</v>
      </c>
      <c r="D886" s="4" t="s">
        <v>11</v>
      </c>
      <c r="E886" s="5">
        <v>0</v>
      </c>
      <c r="F886" s="5">
        <v>0</v>
      </c>
      <c r="G886" s="5">
        <v>0</v>
      </c>
      <c r="H886" s="4" t="s">
        <v>11</v>
      </c>
      <c r="I886" s="5">
        <v>0</v>
      </c>
      <c r="J886" s="4">
        <v>45994.64434027778</v>
      </c>
    </row>
    <row r="887" spans="1:10" x14ac:dyDescent="0.2">
      <c r="A887" s="2" t="s">
        <v>10</v>
      </c>
      <c r="B887" s="3" t="str">
        <f t="shared" si="21"/>
        <v>Email instauration Abilify Maintena 960 mg_FR-AM2-2400029</v>
      </c>
      <c r="C887" s="3" t="str">
        <f>HYPERLINK("https://otsuka-europe-crm.veevavault.com/ui/#object/sent_email__v/VBL00000000V088", "SE-001394868")</f>
        <v>SE-001394868</v>
      </c>
      <c r="D887" s="4" t="s">
        <v>11</v>
      </c>
      <c r="E887" s="5">
        <v>0</v>
      </c>
      <c r="F887" s="5">
        <v>0</v>
      </c>
      <c r="G887" s="5">
        <v>0</v>
      </c>
      <c r="H887" s="4" t="s">
        <v>11</v>
      </c>
      <c r="I887" s="5">
        <v>0</v>
      </c>
      <c r="J887" s="4">
        <v>45994.645578703705</v>
      </c>
    </row>
    <row r="888" spans="1:10" x14ac:dyDescent="0.2">
      <c r="A888" s="2" t="s">
        <v>10</v>
      </c>
      <c r="B888" s="3" t="str">
        <f t="shared" si="21"/>
        <v>Email instauration Abilify Maintena 960 mg_FR-AM2-2400029</v>
      </c>
      <c r="C888" s="3" t="str">
        <f>HYPERLINK("https://otsuka-europe-crm.veevavault.com/ui/#object/sent_email__v/VBL00000000V089", "SE-001394869")</f>
        <v>SE-001394869</v>
      </c>
      <c r="D888" s="4">
        <v>45994.816574074073</v>
      </c>
      <c r="E888" s="5">
        <v>1</v>
      </c>
      <c r="F888" s="5">
        <v>1</v>
      </c>
      <c r="G888" s="5">
        <v>0</v>
      </c>
      <c r="H888" s="4" t="s">
        <v>11</v>
      </c>
      <c r="I888" s="5">
        <v>0</v>
      </c>
      <c r="J888" s="4">
        <v>45994.645914351851</v>
      </c>
    </row>
    <row r="889" spans="1:10" x14ac:dyDescent="0.2">
      <c r="A889" s="2" t="s">
        <v>10</v>
      </c>
      <c r="B889" s="3" t="str">
        <f t="shared" si="21"/>
        <v>Email instauration Abilify Maintena 960 mg_FR-AM2-2400029</v>
      </c>
      <c r="C889" s="3" t="str">
        <f>HYPERLINK("https://otsuka-europe-crm.veevavault.com/ui/#object/sent_email__v/VBL00000000V091", "SE-001394871")</f>
        <v>SE-001394871</v>
      </c>
      <c r="D889" s="4">
        <v>46027.667847222219</v>
      </c>
      <c r="E889" s="5">
        <v>1</v>
      </c>
      <c r="F889" s="5">
        <v>7</v>
      </c>
      <c r="G889" s="5">
        <v>0</v>
      </c>
      <c r="H889" s="4" t="s">
        <v>11</v>
      </c>
      <c r="I889" s="5">
        <v>0</v>
      </c>
      <c r="J889" s="4">
        <v>45995.380636574075</v>
      </c>
    </row>
    <row r="890" spans="1:10" x14ac:dyDescent="0.2">
      <c r="A890" s="2" t="s">
        <v>10</v>
      </c>
      <c r="B890" s="3" t="str">
        <f t="shared" si="21"/>
        <v>Email instauration Abilify Maintena 960 mg_FR-AM2-2400029</v>
      </c>
      <c r="C890" s="3" t="str">
        <f>HYPERLINK("https://otsuka-europe-crm.veevavault.com/ui/#object/sent_email__v/VBL00000000U413", "SE-001394872")</f>
        <v>SE-001394872</v>
      </c>
      <c r="D890" s="4" t="s">
        <v>11</v>
      </c>
      <c r="E890" s="5">
        <v>0</v>
      </c>
      <c r="F890" s="5">
        <v>0</v>
      </c>
      <c r="G890" s="5">
        <v>0</v>
      </c>
      <c r="H890" s="4" t="s">
        <v>11</v>
      </c>
      <c r="I890" s="5">
        <v>0</v>
      </c>
      <c r="J890" s="4">
        <v>45995.380636574075</v>
      </c>
    </row>
    <row r="891" spans="1:10" x14ac:dyDescent="0.2">
      <c r="A891" s="2" t="s">
        <v>10</v>
      </c>
      <c r="B891" s="3" t="str">
        <f t="shared" si="21"/>
        <v>Email instauration Abilify Maintena 960 mg_FR-AM2-2400029</v>
      </c>
      <c r="C891" s="3" t="str">
        <f>HYPERLINK("https://otsuka-europe-crm.veevavault.com/ui/#object/sent_email__v/VBL00000000V149", "SE-001395007")</f>
        <v>SE-001395007</v>
      </c>
      <c r="D891" s="4" t="s">
        <v>11</v>
      </c>
      <c r="E891" s="5">
        <v>0</v>
      </c>
      <c r="F891" s="5">
        <v>0</v>
      </c>
      <c r="G891" s="5">
        <v>0</v>
      </c>
      <c r="H891" s="4" t="s">
        <v>11</v>
      </c>
      <c r="I891" s="5">
        <v>0</v>
      </c>
      <c r="J891" s="4">
        <v>45995.237581018519</v>
      </c>
    </row>
    <row r="892" spans="1:10" x14ac:dyDescent="0.2">
      <c r="A892" s="2" t="s">
        <v>10</v>
      </c>
      <c r="B892" s="3" t="str">
        <f t="shared" si="21"/>
        <v>Email instauration Abilify Maintena 960 mg_FR-AM2-2400029</v>
      </c>
      <c r="C892" s="3" t="str">
        <f>HYPERLINK("https://otsuka-europe-crm.veevavault.com/ui/#object/sent_email__v/VBL00000000V152", "SE-001395011")</f>
        <v>SE-001395011</v>
      </c>
      <c r="D892" s="4">
        <v>46004.949224537035</v>
      </c>
      <c r="E892" s="5">
        <v>1</v>
      </c>
      <c r="F892" s="5">
        <v>5</v>
      </c>
      <c r="G892" s="5">
        <v>0</v>
      </c>
      <c r="H892" s="4" t="s">
        <v>11</v>
      </c>
      <c r="I892" s="5">
        <v>0</v>
      </c>
      <c r="J892" s="4">
        <v>45995.237766203703</v>
      </c>
    </row>
    <row r="893" spans="1:10" x14ac:dyDescent="0.2">
      <c r="A893" s="2" t="s">
        <v>10</v>
      </c>
      <c r="B893" s="3" t="str">
        <f t="shared" si="21"/>
        <v>Email instauration Abilify Maintena 960 mg_FR-AM2-2400029</v>
      </c>
      <c r="C893" s="3" t="str">
        <f>HYPERLINK("https://otsuka-europe-crm.veevavault.com/ui/#object/sent_email__v/VBL00000000V153", "SE-001395013")</f>
        <v>SE-001395013</v>
      </c>
      <c r="D893" s="4" t="s">
        <v>11</v>
      </c>
      <c r="E893" s="5">
        <v>0</v>
      </c>
      <c r="F893" s="5">
        <v>0</v>
      </c>
      <c r="G893" s="5">
        <v>0</v>
      </c>
      <c r="H893" s="4" t="s">
        <v>11</v>
      </c>
      <c r="I893" s="5">
        <v>0</v>
      </c>
      <c r="J893" s="4">
        <v>45995.237858796296</v>
      </c>
    </row>
    <row r="894" spans="1:10" x14ac:dyDescent="0.2">
      <c r="A894" s="2" t="s">
        <v>10</v>
      </c>
      <c r="B894" s="3" t="str">
        <f t="shared" si="21"/>
        <v>Email instauration Abilify Maintena 960 mg_FR-AM2-2400029</v>
      </c>
      <c r="C894" s="3" t="str">
        <f>HYPERLINK("https://otsuka-europe-crm.veevavault.com/ui/#object/sent_email__v/VBL00000000V154", "SE-001395014")</f>
        <v>SE-001395014</v>
      </c>
      <c r="D894" s="4" t="s">
        <v>11</v>
      </c>
      <c r="E894" s="5">
        <v>0</v>
      </c>
      <c r="F894" s="5">
        <v>0</v>
      </c>
      <c r="G894" s="5">
        <v>0</v>
      </c>
      <c r="H894" s="4" t="s">
        <v>11</v>
      </c>
      <c r="I894" s="5">
        <v>0</v>
      </c>
      <c r="J894" s="4">
        <v>45995.237916666665</v>
      </c>
    </row>
    <row r="895" spans="1:10" x14ac:dyDescent="0.2">
      <c r="A895" s="2" t="s">
        <v>10</v>
      </c>
      <c r="B895" s="3" t="str">
        <f t="shared" si="21"/>
        <v>Email instauration Abilify Maintena 960 mg_FR-AM2-2400029</v>
      </c>
      <c r="C895" s="3" t="str">
        <f>HYPERLINK("https://otsuka-europe-crm.veevavault.com/ui/#object/sent_email__v/VBL00000000U789", "SE-001395427")</f>
        <v>SE-001395427</v>
      </c>
      <c r="D895" s="4" t="s">
        <v>11</v>
      </c>
      <c r="E895" s="5">
        <v>0</v>
      </c>
      <c r="F895" s="5">
        <v>0</v>
      </c>
      <c r="G895" s="5">
        <v>0</v>
      </c>
      <c r="H895" s="4" t="s">
        <v>11</v>
      </c>
      <c r="I895" s="5">
        <v>0</v>
      </c>
      <c r="J895" s="4">
        <v>45995.568159722221</v>
      </c>
    </row>
    <row r="896" spans="1:10" x14ac:dyDescent="0.2">
      <c r="A896" s="2" t="s">
        <v>10</v>
      </c>
      <c r="B896" s="3" t="str">
        <f t="shared" si="21"/>
        <v>Email instauration Abilify Maintena 960 mg_FR-AM2-2400029</v>
      </c>
      <c r="C896" s="3" t="str">
        <f>HYPERLINK("https://otsuka-europe-crm.veevavault.com/ui/#object/sent_email__v/VBL00000000V271", "SE-001395430")</f>
        <v>SE-001395430</v>
      </c>
      <c r="D896" s="4" t="s">
        <v>11</v>
      </c>
      <c r="E896" s="5">
        <v>0</v>
      </c>
      <c r="F896" s="5">
        <v>0</v>
      </c>
      <c r="G896" s="5">
        <v>0</v>
      </c>
      <c r="H896" s="4" t="s">
        <v>11</v>
      </c>
      <c r="I896" s="5">
        <v>0</v>
      </c>
      <c r="J896" s="4">
        <v>45995.569594907407</v>
      </c>
    </row>
    <row r="897" spans="1:10" x14ac:dyDescent="0.2">
      <c r="A897" s="2" t="s">
        <v>10</v>
      </c>
      <c r="B897" s="3" t="str">
        <f t="shared" si="21"/>
        <v>Email instauration Abilify Maintena 960 mg_FR-AM2-2400029</v>
      </c>
      <c r="C897" s="3" t="str">
        <f>HYPERLINK("https://otsuka-europe-crm.veevavault.com/ui/#object/sent_email__v/VBL00000000V274", "SE-001395433")</f>
        <v>SE-001395433</v>
      </c>
      <c r="D897" s="4" t="s">
        <v>11</v>
      </c>
      <c r="E897" s="5">
        <v>0</v>
      </c>
      <c r="F897" s="5">
        <v>0</v>
      </c>
      <c r="G897" s="5">
        <v>0</v>
      </c>
      <c r="H897" s="4" t="s">
        <v>11</v>
      </c>
      <c r="I897" s="5">
        <v>0</v>
      </c>
      <c r="J897" s="4">
        <v>45995.570810185185</v>
      </c>
    </row>
    <row r="898" spans="1:10" x14ac:dyDescent="0.2">
      <c r="A898" s="2" t="s">
        <v>10</v>
      </c>
      <c r="B898" s="3" t="str">
        <f t="shared" si="21"/>
        <v>Email instauration Abilify Maintena 960 mg_FR-AM2-2400029</v>
      </c>
      <c r="C898" s="3" t="str">
        <f>HYPERLINK("https://otsuka-europe-crm.veevavault.com/ui/#object/sent_email__v/VBL00000000V283", "SE-001395469")</f>
        <v>SE-001395469</v>
      </c>
      <c r="D898" s="4" t="s">
        <v>11</v>
      </c>
      <c r="E898" s="5">
        <v>0</v>
      </c>
      <c r="F898" s="5">
        <v>0</v>
      </c>
      <c r="G898" s="5">
        <v>0</v>
      </c>
      <c r="H898" s="4" t="s">
        <v>11</v>
      </c>
      <c r="I898" s="5">
        <v>0</v>
      </c>
      <c r="J898" s="4">
        <v>45995.664988425924</v>
      </c>
    </row>
    <row r="899" spans="1:10" x14ac:dyDescent="0.2">
      <c r="A899" s="2" t="s">
        <v>10</v>
      </c>
      <c r="B899" s="3" t="str">
        <f t="shared" si="21"/>
        <v>Email instauration Abilify Maintena 960 mg_FR-AM2-2400029</v>
      </c>
      <c r="C899" s="3" t="str">
        <f>HYPERLINK("https://otsuka-europe-crm.veevavault.com/ui/#object/sent_email__v/VBL00000000X207", "SE-001395742")</f>
        <v>SE-001395742</v>
      </c>
      <c r="D899" s="4">
        <v>45999.786087962966</v>
      </c>
      <c r="E899" s="5">
        <v>1</v>
      </c>
      <c r="F899" s="5">
        <v>1</v>
      </c>
      <c r="G899" s="5">
        <v>0</v>
      </c>
      <c r="H899" s="4" t="s">
        <v>11</v>
      </c>
      <c r="I899" s="5">
        <v>0</v>
      </c>
      <c r="J899" s="4">
        <v>45999.505879629629</v>
      </c>
    </row>
    <row r="900" spans="1:10" x14ac:dyDescent="0.2">
      <c r="A900" s="2" t="s">
        <v>10</v>
      </c>
      <c r="B900" s="3" t="str">
        <f t="shared" si="21"/>
        <v>Email instauration Abilify Maintena 960 mg_FR-AM2-2400029</v>
      </c>
      <c r="C900" s="3" t="str">
        <f>HYPERLINK("https://otsuka-europe-crm.veevavault.com/ui/#object/sent_email__v/VBL00000000W078", "SE-001395786")</f>
        <v>SE-001395786</v>
      </c>
      <c r="D900" s="4" t="s">
        <v>11</v>
      </c>
      <c r="E900" s="5">
        <v>0</v>
      </c>
      <c r="F900" s="5">
        <v>0</v>
      </c>
      <c r="G900" s="5">
        <v>0</v>
      </c>
      <c r="H900" s="4" t="s">
        <v>11</v>
      </c>
      <c r="I900" s="5">
        <v>0</v>
      </c>
      <c r="J900" s="4">
        <v>45999.537222222221</v>
      </c>
    </row>
    <row r="901" spans="1:10" x14ac:dyDescent="0.2">
      <c r="A901" s="2" t="s">
        <v>10</v>
      </c>
      <c r="B901" s="3" t="str">
        <f t="shared" si="21"/>
        <v>Email instauration Abilify Maintena 960 mg_FR-AM2-2400029</v>
      </c>
      <c r="C901" s="3" t="str">
        <f>HYPERLINK("https://otsuka-europe-crm.veevavault.com/ui/#object/sent_email__v/VBL00000000X289", "SE-001395965")</f>
        <v>SE-001395965</v>
      </c>
      <c r="D901" s="4" t="s">
        <v>11</v>
      </c>
      <c r="E901" s="5">
        <v>0</v>
      </c>
      <c r="F901" s="5">
        <v>0</v>
      </c>
      <c r="G901" s="5">
        <v>0</v>
      </c>
      <c r="H901" s="4" t="s">
        <v>11</v>
      </c>
      <c r="I901" s="5">
        <v>0</v>
      </c>
      <c r="J901" s="4">
        <v>46000.537175925929</v>
      </c>
    </row>
    <row r="902" spans="1:10" x14ac:dyDescent="0.2">
      <c r="A902" s="2" t="s">
        <v>10</v>
      </c>
      <c r="B902" s="3" t="str">
        <f t="shared" si="21"/>
        <v>Email instauration Abilify Maintena 960 mg_FR-AM2-2400029</v>
      </c>
      <c r="C902" s="3" t="str">
        <f>HYPERLINK("https://otsuka-europe-crm.veevavault.com/ui/#object/sent_email__v/VBL00000000X356", "SE-001396132")</f>
        <v>SE-001396132</v>
      </c>
      <c r="D902" s="4" t="s">
        <v>11</v>
      </c>
      <c r="E902" s="5">
        <v>0</v>
      </c>
      <c r="F902" s="5">
        <v>0</v>
      </c>
      <c r="G902" s="5">
        <v>0</v>
      </c>
      <c r="H902" s="4" t="s">
        <v>11</v>
      </c>
      <c r="I902" s="5">
        <v>0</v>
      </c>
      <c r="J902" s="4">
        <v>46001.5078125</v>
      </c>
    </row>
    <row r="903" spans="1:10" x14ac:dyDescent="0.2">
      <c r="A903" s="2" t="s">
        <v>10</v>
      </c>
      <c r="B903" s="3" t="str">
        <f t="shared" si="21"/>
        <v>Email instauration Abilify Maintena 960 mg_FR-AM2-2400029</v>
      </c>
      <c r="C903" s="3" t="str">
        <f>HYPERLINK("https://otsuka-europe-crm.veevavault.com/ui/#object/sent_email__v/VBL00000000X363", "SE-001396154")</f>
        <v>SE-001396154</v>
      </c>
      <c r="D903" s="4">
        <v>46001.70480324074</v>
      </c>
      <c r="E903" s="5">
        <v>1</v>
      </c>
      <c r="F903" s="5">
        <v>4</v>
      </c>
      <c r="G903" s="5">
        <v>0</v>
      </c>
      <c r="H903" s="4" t="s">
        <v>11</v>
      </c>
      <c r="I903" s="5">
        <v>0</v>
      </c>
      <c r="J903" s="4">
        <v>46001.665798611109</v>
      </c>
    </row>
    <row r="904" spans="1:10" x14ac:dyDescent="0.2">
      <c r="A904" s="2" t="s">
        <v>10</v>
      </c>
      <c r="B904" s="3" t="str">
        <f t="shared" si="21"/>
        <v>Email instauration Abilify Maintena 960 mg_FR-AM2-2400029</v>
      </c>
      <c r="C904" s="3" t="str">
        <f>HYPERLINK("https://otsuka-europe-crm.veevavault.com/ui/#object/sent_email__v/VBL00000000X579", "SE-001396495")</f>
        <v>SE-001396495</v>
      </c>
      <c r="D904" s="4">
        <v>46002.67224537037</v>
      </c>
      <c r="E904" s="5">
        <v>1</v>
      </c>
      <c r="F904" s="5">
        <v>1</v>
      </c>
      <c r="G904" s="5">
        <v>0</v>
      </c>
      <c r="H904" s="4" t="s">
        <v>11</v>
      </c>
      <c r="I904" s="5">
        <v>0</v>
      </c>
      <c r="J904" s="4">
        <v>46002.668402777781</v>
      </c>
    </row>
    <row r="905" spans="1:10" x14ac:dyDescent="0.2">
      <c r="A905" s="2" t="s">
        <v>10</v>
      </c>
      <c r="B905" s="3" t="str">
        <f t="shared" si="21"/>
        <v>Email instauration Abilify Maintena 960 mg_FR-AM2-2400029</v>
      </c>
      <c r="C905" s="3" t="str">
        <f>HYPERLINK("https://otsuka-europe-crm.veevavault.com/ui/#object/sent_email__v/VBL00000000W461", "SE-001396517")</f>
        <v>SE-001396517</v>
      </c>
      <c r="D905" s="4">
        <v>46002.759189814817</v>
      </c>
      <c r="E905" s="5">
        <v>1</v>
      </c>
      <c r="F905" s="5">
        <v>1</v>
      </c>
      <c r="G905" s="5">
        <v>0</v>
      </c>
      <c r="H905" s="4" t="s">
        <v>11</v>
      </c>
      <c r="I905" s="5">
        <v>0</v>
      </c>
      <c r="J905" s="4">
        <v>46002.720393518517</v>
      </c>
    </row>
    <row r="906" spans="1:10" x14ac:dyDescent="0.2">
      <c r="A906" s="2" t="s">
        <v>10</v>
      </c>
      <c r="B906" s="3" t="str">
        <f t="shared" si="21"/>
        <v>Email instauration Abilify Maintena 960 mg_FR-AM2-2400029</v>
      </c>
      <c r="C906" s="3" t="str">
        <f>HYPERLINK("https://otsuka-europe-crm.veevavault.com/ui/#object/sent_email__v/VBL00000000W462", "SE-001396518")</f>
        <v>SE-001396518</v>
      </c>
      <c r="D906" s="4" t="s">
        <v>11</v>
      </c>
      <c r="E906" s="5">
        <v>0</v>
      </c>
      <c r="F906" s="5">
        <v>0</v>
      </c>
      <c r="G906" s="5">
        <v>0</v>
      </c>
      <c r="H906" s="4" t="s">
        <v>11</v>
      </c>
      <c r="I906" s="5">
        <v>0</v>
      </c>
      <c r="J906" s="4">
        <v>46002.720868055556</v>
      </c>
    </row>
    <row r="907" spans="1:10" x14ac:dyDescent="0.2">
      <c r="A907" s="2" t="s">
        <v>10</v>
      </c>
      <c r="B907" s="3" t="str">
        <f t="shared" si="21"/>
        <v>Email instauration Abilify Maintena 960 mg_FR-AM2-2400029</v>
      </c>
      <c r="C907" s="3" t="str">
        <f>HYPERLINK("https://otsuka-europe-crm.veevavault.com/ui/#object/sent_email__v/VBL00000000X596", "SE-001396519")</f>
        <v>SE-001396519</v>
      </c>
      <c r="D907" s="4" t="s">
        <v>11</v>
      </c>
      <c r="E907" s="5">
        <v>0</v>
      </c>
      <c r="F907" s="5">
        <v>0</v>
      </c>
      <c r="G907" s="5">
        <v>0</v>
      </c>
      <c r="H907" s="4" t="s">
        <v>11</v>
      </c>
      <c r="I907" s="5">
        <v>0</v>
      </c>
      <c r="J907" s="4">
        <v>46002.721446759257</v>
      </c>
    </row>
    <row r="908" spans="1:10" x14ac:dyDescent="0.2">
      <c r="A908" s="2" t="s">
        <v>10</v>
      </c>
      <c r="B908" s="3" t="str">
        <f t="shared" si="21"/>
        <v>Email instauration Abilify Maintena 960 mg_FR-AM2-2400029</v>
      </c>
      <c r="C908" s="3" t="str">
        <f>HYPERLINK("https://otsuka-europe-crm.veevavault.com/ui/#object/sent_email__v/VBL00000000Z027", "SE-001396581")</f>
        <v>SE-001396581</v>
      </c>
      <c r="D908" s="4" t="s">
        <v>11</v>
      </c>
      <c r="E908" s="5">
        <v>0</v>
      </c>
      <c r="F908" s="5">
        <v>0</v>
      </c>
      <c r="G908" s="5">
        <v>0</v>
      </c>
      <c r="H908" s="4" t="s">
        <v>11</v>
      </c>
      <c r="I908" s="5">
        <v>0</v>
      </c>
      <c r="J908" s="4">
        <v>46003.522997685184</v>
      </c>
    </row>
    <row r="909" spans="1:10" x14ac:dyDescent="0.2">
      <c r="A909" s="2" t="s">
        <v>10</v>
      </c>
      <c r="B909" s="3" t="str">
        <f t="shared" si="21"/>
        <v>Email instauration Abilify Maintena 960 mg_FR-AM2-2400029</v>
      </c>
      <c r="C909" s="3" t="str">
        <f>HYPERLINK("https://otsuka-europe-crm.veevavault.com/ui/#object/sent_email__v/VBL00000000Z030", "SE-001396589")</f>
        <v>SE-001396589</v>
      </c>
      <c r="D909" s="4" t="s">
        <v>11</v>
      </c>
      <c r="E909" s="5">
        <v>0</v>
      </c>
      <c r="F909" s="5">
        <v>0</v>
      </c>
      <c r="G909" s="5">
        <v>0</v>
      </c>
      <c r="H909" s="4" t="s">
        <v>11</v>
      </c>
      <c r="I909" s="5">
        <v>0</v>
      </c>
      <c r="J909" s="4">
        <v>46003.62572916667</v>
      </c>
    </row>
    <row r="910" spans="1:10" x14ac:dyDescent="0.2">
      <c r="A910" s="2" t="s">
        <v>10</v>
      </c>
      <c r="B910" s="3" t="str">
        <f t="shared" si="21"/>
        <v>Email instauration Abilify Maintena 960 mg_FR-AM2-2400029</v>
      </c>
      <c r="C910" s="3" t="str">
        <f>HYPERLINK("https://otsuka-europe-crm.veevavault.com/ui/#object/sent_email__v/VBL00000000Z031", "SE-001396590")</f>
        <v>SE-001396590</v>
      </c>
      <c r="D910" s="4" t="s">
        <v>11</v>
      </c>
      <c r="E910" s="5">
        <v>0</v>
      </c>
      <c r="F910" s="5">
        <v>0</v>
      </c>
      <c r="G910" s="5">
        <v>0</v>
      </c>
      <c r="H910" s="4" t="s">
        <v>11</v>
      </c>
      <c r="I910" s="5">
        <v>0</v>
      </c>
      <c r="J910" s="4">
        <v>46003.626284722224</v>
      </c>
    </row>
    <row r="911" spans="1:10" x14ac:dyDescent="0.2">
      <c r="A911" s="2" t="s">
        <v>10</v>
      </c>
      <c r="B911" s="3" t="str">
        <f t="shared" si="21"/>
        <v>Email instauration Abilify Maintena 960 mg_FR-AM2-2400029</v>
      </c>
      <c r="C911" s="3" t="str">
        <f>HYPERLINK("https://otsuka-europe-crm.veevavault.com/ui/#object/sent_email__v/VBL000000011054", "SE-001396688")</f>
        <v>SE-001396688</v>
      </c>
      <c r="D911" s="4" t="s">
        <v>11</v>
      </c>
      <c r="E911" s="5">
        <v>0</v>
      </c>
      <c r="F911" s="5">
        <v>0</v>
      </c>
      <c r="G911" s="5">
        <v>0</v>
      </c>
      <c r="H911" s="4" t="s">
        <v>11</v>
      </c>
      <c r="I911" s="5">
        <v>0</v>
      </c>
      <c r="J911" s="4">
        <v>46006.530312499999</v>
      </c>
    </row>
    <row r="912" spans="1:10" x14ac:dyDescent="0.2">
      <c r="A912" s="2" t="s">
        <v>10</v>
      </c>
      <c r="B912" s="3" t="str">
        <f t="shared" si="21"/>
        <v>Email instauration Abilify Maintena 960 mg_FR-AM2-2400029</v>
      </c>
      <c r="C912" s="3" t="str">
        <f>HYPERLINK("https://otsuka-europe-crm.veevavault.com/ui/#object/sent_email__v/VBL000000010214", "SE-001397529")</f>
        <v>SE-001397529</v>
      </c>
      <c r="D912" s="4" t="s">
        <v>11</v>
      </c>
      <c r="E912" s="5">
        <v>0</v>
      </c>
      <c r="F912" s="5">
        <v>0</v>
      </c>
      <c r="G912" s="5">
        <v>0</v>
      </c>
      <c r="H912" s="4" t="s">
        <v>11</v>
      </c>
      <c r="I912" s="5">
        <v>0</v>
      </c>
      <c r="J912" s="4">
        <v>46008.671296296299</v>
      </c>
    </row>
    <row r="913" spans="1:10" x14ac:dyDescent="0.2">
      <c r="A913" s="2" t="s">
        <v>10</v>
      </c>
      <c r="B913" s="3" t="str">
        <f t="shared" si="21"/>
        <v>Email instauration Abilify Maintena 960 mg_FR-AM2-2400029</v>
      </c>
      <c r="C913" s="3" t="str">
        <f>HYPERLINK("https://otsuka-europe-crm.veevavault.com/ui/#object/sent_email__v/VBL000000011722", "SE-001397533")</f>
        <v>SE-001397533</v>
      </c>
      <c r="D913" s="4" t="s">
        <v>11</v>
      </c>
      <c r="E913" s="5">
        <v>0</v>
      </c>
      <c r="F913" s="5">
        <v>0</v>
      </c>
      <c r="G913" s="5">
        <v>0</v>
      </c>
      <c r="H913" s="4" t="s">
        <v>11</v>
      </c>
      <c r="I913" s="5">
        <v>0</v>
      </c>
      <c r="J913" s="4">
        <v>46008.672812500001</v>
      </c>
    </row>
    <row r="914" spans="1:10" x14ac:dyDescent="0.2">
      <c r="A914" s="2" t="s">
        <v>10</v>
      </c>
      <c r="B914" s="3" t="str">
        <f t="shared" si="21"/>
        <v>Email instauration Abilify Maintena 960 mg_FR-AM2-2400029</v>
      </c>
      <c r="C914" s="3" t="str">
        <f>HYPERLINK("https://otsuka-europe-crm.veevavault.com/ui/#object/sent_email__v/VBL000000010216", "SE-001397534")</f>
        <v>SE-001397534</v>
      </c>
      <c r="D914" s="4" t="s">
        <v>11</v>
      </c>
      <c r="E914" s="5">
        <v>0</v>
      </c>
      <c r="F914" s="5">
        <v>0</v>
      </c>
      <c r="G914" s="5">
        <v>0</v>
      </c>
      <c r="H914" s="4" t="s">
        <v>11</v>
      </c>
      <c r="I914" s="5">
        <v>0</v>
      </c>
      <c r="J914" s="4">
        <v>46008.674016203702</v>
      </c>
    </row>
    <row r="915" spans="1:10" x14ac:dyDescent="0.2">
      <c r="A915" s="2" t="s">
        <v>10</v>
      </c>
      <c r="B915" s="3" t="str">
        <f t="shared" si="21"/>
        <v>Email instauration Abilify Maintena 960 mg_FR-AM2-2400029</v>
      </c>
      <c r="C915" s="3" t="str">
        <f>HYPERLINK("https://otsuka-europe-crm.veevavault.com/ui/#object/sent_email__v/VBL000000010237", "SE-001397646")</f>
        <v>SE-001397646</v>
      </c>
      <c r="D915" s="4">
        <v>46009.795567129629</v>
      </c>
      <c r="E915" s="5">
        <v>1</v>
      </c>
      <c r="F915" s="5">
        <v>1</v>
      </c>
      <c r="G915" s="5">
        <v>0</v>
      </c>
      <c r="H915" s="4" t="s">
        <v>11</v>
      </c>
      <c r="I915" s="5">
        <v>0</v>
      </c>
      <c r="J915" s="4">
        <v>46009.665185185186</v>
      </c>
    </row>
    <row r="916" spans="1:10" x14ac:dyDescent="0.2">
      <c r="A916" s="2" t="s">
        <v>10</v>
      </c>
      <c r="B916" s="3" t="str">
        <f t="shared" si="21"/>
        <v>Email instauration Abilify Maintena 960 mg_FR-AM2-2400029</v>
      </c>
      <c r="C916" s="3" t="str">
        <f>HYPERLINK("https://otsuka-europe-crm.veevavault.com/ui/#object/sent_email__v/VBL000000013187", "SE-001398183")</f>
        <v>SE-001398183</v>
      </c>
      <c r="D916" s="4">
        <v>46010.878229166665</v>
      </c>
      <c r="E916" s="5">
        <v>1</v>
      </c>
      <c r="F916" s="5">
        <v>2</v>
      </c>
      <c r="G916" s="5">
        <v>0</v>
      </c>
      <c r="H916" s="4" t="s">
        <v>11</v>
      </c>
      <c r="I916" s="5">
        <v>0</v>
      </c>
      <c r="J916" s="4">
        <v>46010.633587962962</v>
      </c>
    </row>
    <row r="917" spans="1:10" x14ac:dyDescent="0.2">
      <c r="A917" s="2" t="s">
        <v>10</v>
      </c>
      <c r="B917" s="3" t="str">
        <f t="shared" si="21"/>
        <v>Email instauration Abilify Maintena 960 mg_FR-AM2-2400029</v>
      </c>
      <c r="C917" s="3" t="str">
        <f>HYPERLINK("https://otsuka-europe-crm.veevavault.com/ui/#object/sent_email__v/VBL000000013769", "SE-001399198")</f>
        <v>SE-001399198</v>
      </c>
      <c r="D917" s="4" t="s">
        <v>11</v>
      </c>
      <c r="E917" s="5">
        <v>0</v>
      </c>
      <c r="F917" s="5">
        <v>0</v>
      </c>
      <c r="G917" s="5">
        <v>0</v>
      </c>
      <c r="H917" s="4" t="s">
        <v>11</v>
      </c>
      <c r="I917" s="5">
        <v>0</v>
      </c>
      <c r="J917" s="4">
        <v>46027.658692129633</v>
      </c>
    </row>
    <row r="918" spans="1:10" x14ac:dyDescent="0.2">
      <c r="A918" s="2" t="s">
        <v>10</v>
      </c>
      <c r="B918" s="3" t="str">
        <f t="shared" si="21"/>
        <v>Email instauration Abilify Maintena 960 mg_FR-AM2-2400029</v>
      </c>
      <c r="C918" s="3" t="str">
        <f>HYPERLINK("https://otsuka-europe-crm.veevavault.com/ui/#object/sent_email__v/VBL000000012602", "SE-001399199")</f>
        <v>SE-001399199</v>
      </c>
      <c r="D918" s="4">
        <v>46027.88486111111</v>
      </c>
      <c r="E918" s="5">
        <v>1</v>
      </c>
      <c r="F918" s="5">
        <v>1</v>
      </c>
      <c r="G918" s="5">
        <v>0</v>
      </c>
      <c r="H918" s="4" t="s">
        <v>11</v>
      </c>
      <c r="I918" s="5">
        <v>0</v>
      </c>
      <c r="J918" s="4">
        <v>46027.660729166666</v>
      </c>
    </row>
    <row r="919" spans="1:10" x14ac:dyDescent="0.2">
      <c r="A919" s="2" t="s">
        <v>10</v>
      </c>
      <c r="B919" s="3" t="str">
        <f t="shared" si="21"/>
        <v>Email instauration Abilify Maintena 960 mg_FR-AM2-2400029</v>
      </c>
      <c r="C919" s="3" t="str">
        <f>HYPERLINK("https://otsuka-europe-crm.veevavault.com/ui/#object/sent_email__v/VBL000000012805", "SE-001399545")</f>
        <v>SE-001399545</v>
      </c>
      <c r="D919" s="4" t="s">
        <v>11</v>
      </c>
      <c r="E919" s="5">
        <v>0</v>
      </c>
      <c r="F919" s="5">
        <v>0</v>
      </c>
      <c r="G919" s="5">
        <v>0</v>
      </c>
      <c r="H919" s="4" t="s">
        <v>11</v>
      </c>
      <c r="I919" s="5">
        <v>0</v>
      </c>
      <c r="J919" s="4">
        <v>46031.536597222221</v>
      </c>
    </row>
    <row r="920" spans="1:10" x14ac:dyDescent="0.2">
      <c r="A920" s="2" t="s">
        <v>10</v>
      </c>
      <c r="B920" s="3" t="str">
        <f t="shared" si="21"/>
        <v>Email instauration Abilify Maintena 960 mg_FR-AM2-2400029</v>
      </c>
      <c r="C920" s="3" t="str">
        <f>HYPERLINK("https://otsuka-europe-crm.veevavault.com/ui/#object/sent_email__v/VBL000000012809", "SE-001399549")</f>
        <v>SE-001399549</v>
      </c>
      <c r="D920" s="4" t="s">
        <v>11</v>
      </c>
      <c r="E920" s="5">
        <v>0</v>
      </c>
      <c r="F920" s="5">
        <v>0</v>
      </c>
      <c r="G920" s="5">
        <v>0</v>
      </c>
      <c r="H920" s="4" t="s">
        <v>11</v>
      </c>
      <c r="I920" s="5">
        <v>0</v>
      </c>
      <c r="J920" s="4">
        <v>46031.541377314818</v>
      </c>
    </row>
    <row r="921" spans="1:10" x14ac:dyDescent="0.2">
      <c r="A921" s="2" t="s">
        <v>10</v>
      </c>
      <c r="B921" s="3" t="str">
        <f t="shared" si="21"/>
        <v>Email instauration Abilify Maintena 960 mg_FR-AM2-2400029</v>
      </c>
      <c r="C921" s="3" t="str">
        <f>HYPERLINK("https://otsuka-europe-crm.veevavault.com/ui/#object/sent_email__v/VBL000000012816", "SE-001399558")</f>
        <v>SE-001399558</v>
      </c>
      <c r="D921" s="4">
        <v>46044.441331018519</v>
      </c>
      <c r="E921" s="5">
        <v>1</v>
      </c>
      <c r="F921" s="5">
        <v>4</v>
      </c>
      <c r="G921" s="5">
        <v>0</v>
      </c>
      <c r="H921" s="4" t="s">
        <v>11</v>
      </c>
      <c r="I921" s="5">
        <v>0</v>
      </c>
      <c r="J921" s="4">
        <v>46031.672418981485</v>
      </c>
    </row>
    <row r="922" spans="1:10" x14ac:dyDescent="0.2">
      <c r="A922" s="2" t="s">
        <v>10</v>
      </c>
      <c r="B922" s="3" t="str">
        <f t="shared" si="21"/>
        <v>Email instauration Abilify Maintena 960 mg_FR-AM2-2400029</v>
      </c>
      <c r="C922" s="3" t="str">
        <f>HYPERLINK("https://otsuka-europe-crm.veevavault.com/ui/#object/sent_email__v/VBL000000012890", "SE-001399803")</f>
        <v>SE-001399803</v>
      </c>
      <c r="D922" s="4" t="s">
        <v>11</v>
      </c>
      <c r="E922" s="5">
        <v>0</v>
      </c>
      <c r="F922" s="5">
        <v>0</v>
      </c>
      <c r="G922" s="5">
        <v>0</v>
      </c>
      <c r="H922" s="4" t="s">
        <v>11</v>
      </c>
      <c r="I922" s="5">
        <v>0</v>
      </c>
      <c r="J922" s="4">
        <v>46034.662812499999</v>
      </c>
    </row>
    <row r="923" spans="1:10" x14ac:dyDescent="0.2">
      <c r="A923" s="2" t="s">
        <v>10</v>
      </c>
      <c r="B923" s="3" t="str">
        <f t="shared" si="21"/>
        <v>Email instauration Abilify Maintena 960 mg_FR-AM2-2400029</v>
      </c>
      <c r="C923" s="3" t="str">
        <f>HYPERLINK("https://otsuka-europe-crm.veevavault.com/ui/#object/sent_email__v/VBL000000012891", "SE-001399804")</f>
        <v>SE-001399804</v>
      </c>
      <c r="D923" s="4">
        <v>46034.837569444448</v>
      </c>
      <c r="E923" s="5">
        <v>1</v>
      </c>
      <c r="F923" s="5">
        <v>2</v>
      </c>
      <c r="G923" s="5">
        <v>0</v>
      </c>
      <c r="H923" s="4" t="s">
        <v>11</v>
      </c>
      <c r="I923" s="5">
        <v>0</v>
      </c>
      <c r="J923" s="4">
        <v>46034.663634259261</v>
      </c>
    </row>
    <row r="924" spans="1:10" x14ac:dyDescent="0.2">
      <c r="A924" s="2" t="s">
        <v>10</v>
      </c>
      <c r="B924" s="3" t="str">
        <f t="shared" si="21"/>
        <v>Email instauration Abilify Maintena 960 mg_FR-AM2-2400029</v>
      </c>
      <c r="C924" s="3" t="str">
        <f>HYPERLINK("https://otsuka-europe-crm.veevavault.com/ui/#object/sent_email__v/VBL000000012918", "SE-001399848")</f>
        <v>SE-001399848</v>
      </c>
      <c r="D924" s="4" t="s">
        <v>11</v>
      </c>
      <c r="E924" s="5">
        <v>0</v>
      </c>
      <c r="F924" s="5">
        <v>0</v>
      </c>
      <c r="G924" s="5">
        <v>0</v>
      </c>
      <c r="H924" s="4" t="s">
        <v>11</v>
      </c>
      <c r="I924" s="5">
        <v>0</v>
      </c>
      <c r="J924" s="4">
        <v>46035.627152777779</v>
      </c>
    </row>
    <row r="925" spans="1:10" x14ac:dyDescent="0.2">
      <c r="A925" s="2" t="s">
        <v>10</v>
      </c>
      <c r="B925" s="3" t="str">
        <f t="shared" si="21"/>
        <v>Email instauration Abilify Maintena 960 mg_FR-AM2-2400029</v>
      </c>
      <c r="C925" s="3" t="str">
        <f>HYPERLINK("https://otsuka-europe-crm.veevavault.com/ui/#object/sent_email__v/VBL000000012919", "SE-001399849")</f>
        <v>SE-001399849</v>
      </c>
      <c r="D925" s="4" t="s">
        <v>11</v>
      </c>
      <c r="E925" s="5">
        <v>0</v>
      </c>
      <c r="F925" s="5">
        <v>0</v>
      </c>
      <c r="G925" s="5">
        <v>0</v>
      </c>
      <c r="H925" s="4" t="s">
        <v>11</v>
      </c>
      <c r="I925" s="5">
        <v>0</v>
      </c>
      <c r="J925" s="4">
        <v>46035.627511574072</v>
      </c>
    </row>
    <row r="926" spans="1:10" x14ac:dyDescent="0.2">
      <c r="A926" s="2" t="s">
        <v>10</v>
      </c>
      <c r="B926" s="3" t="str">
        <f t="shared" si="21"/>
        <v>Email instauration Abilify Maintena 960 mg_FR-AM2-2400029</v>
      </c>
      <c r="C926" s="3" t="str">
        <f>HYPERLINK("https://otsuka-europe-crm.veevavault.com/ui/#object/sent_email__v/VBL000000012920", "SE-001399850")</f>
        <v>SE-001399850</v>
      </c>
      <c r="D926" s="4" t="s">
        <v>11</v>
      </c>
      <c r="E926" s="5">
        <v>0</v>
      </c>
      <c r="F926" s="5">
        <v>0</v>
      </c>
      <c r="G926" s="5">
        <v>0</v>
      </c>
      <c r="H926" s="4" t="s">
        <v>11</v>
      </c>
      <c r="I926" s="5">
        <v>0</v>
      </c>
      <c r="J926" s="4">
        <v>46035.628530092596</v>
      </c>
    </row>
    <row r="927" spans="1:10" x14ac:dyDescent="0.2">
      <c r="A927" s="2" t="s">
        <v>10</v>
      </c>
      <c r="B927" s="3" t="str">
        <f t="shared" si="21"/>
        <v>Email instauration Abilify Maintena 960 mg_FR-AM2-2400029</v>
      </c>
      <c r="C927" s="3" t="str">
        <f>HYPERLINK("https://otsuka-europe-crm.veevavault.com/ui/#object/sent_email__v/VBL000000014122", "SE-001399851")</f>
        <v>SE-001399851</v>
      </c>
      <c r="D927" s="4" t="s">
        <v>11</v>
      </c>
      <c r="E927" s="5">
        <v>0</v>
      </c>
      <c r="F927" s="5">
        <v>0</v>
      </c>
      <c r="G927" s="5">
        <v>0</v>
      </c>
      <c r="H927" s="4" t="s">
        <v>11</v>
      </c>
      <c r="I927" s="5">
        <v>0</v>
      </c>
      <c r="J927" s="4">
        <v>46035.638622685183</v>
      </c>
    </row>
    <row r="928" spans="1:10" x14ac:dyDescent="0.2">
      <c r="A928" s="2" t="s">
        <v>10</v>
      </c>
      <c r="B928" s="3" t="str">
        <f t="shared" si="21"/>
        <v>Email instauration Abilify Maintena 960 mg_FR-AM2-2400029</v>
      </c>
      <c r="C928" s="3" t="str">
        <f>HYPERLINK("https://otsuka-europe-crm.veevavault.com/ui/#object/sent_email__v/VBL000000012935", "SE-001399884")</f>
        <v>SE-001399884</v>
      </c>
      <c r="D928" s="4" t="s">
        <v>11</v>
      </c>
      <c r="E928" s="5">
        <v>0</v>
      </c>
      <c r="F928" s="5">
        <v>0</v>
      </c>
      <c r="G928" s="5">
        <v>0</v>
      </c>
      <c r="H928" s="4" t="s">
        <v>11</v>
      </c>
      <c r="I928" s="5">
        <v>0</v>
      </c>
      <c r="J928" s="4">
        <v>46036.671203703707</v>
      </c>
    </row>
    <row r="929" spans="1:10" x14ac:dyDescent="0.2">
      <c r="A929" s="2" t="s">
        <v>10</v>
      </c>
      <c r="B929" s="3" t="str">
        <f t="shared" si="21"/>
        <v>Email instauration Abilify Maintena 960 mg_FR-AM2-2400029</v>
      </c>
      <c r="C929" s="3" t="str">
        <f>HYPERLINK("https://otsuka-europe-crm.veevavault.com/ui/#object/sent_email__v/VBL000000012936", "SE-001399885")</f>
        <v>SE-001399885</v>
      </c>
      <c r="D929" s="4" t="s">
        <v>11</v>
      </c>
      <c r="E929" s="5">
        <v>0</v>
      </c>
      <c r="F929" s="5">
        <v>0</v>
      </c>
      <c r="G929" s="5">
        <v>0</v>
      </c>
      <c r="H929" s="4" t="s">
        <v>11</v>
      </c>
      <c r="I929" s="5">
        <v>0</v>
      </c>
      <c r="J929" s="4">
        <v>46036.671932870369</v>
      </c>
    </row>
    <row r="930" spans="1:10" x14ac:dyDescent="0.2">
      <c r="A930" s="2" t="s">
        <v>10</v>
      </c>
      <c r="B930" s="3" t="str">
        <f t="shared" si="21"/>
        <v>Email instauration Abilify Maintena 960 mg_FR-AM2-2400029</v>
      </c>
      <c r="C930" s="3" t="str">
        <f>HYPERLINK("https://otsuka-europe-crm.veevavault.com/ui/#object/sent_email__v/VBL000000012937", "SE-001399886")</f>
        <v>SE-001399886</v>
      </c>
      <c r="D930" s="4">
        <v>46036.802523148152</v>
      </c>
      <c r="E930" s="5">
        <v>1</v>
      </c>
      <c r="F930" s="5">
        <v>2</v>
      </c>
      <c r="G930" s="5">
        <v>0</v>
      </c>
      <c r="H930" s="4" t="s">
        <v>11</v>
      </c>
      <c r="I930" s="5">
        <v>0</v>
      </c>
      <c r="J930" s="4">
        <v>46036.674467592595</v>
      </c>
    </row>
    <row r="931" spans="1:10" x14ac:dyDescent="0.2">
      <c r="A931" s="2" t="s">
        <v>10</v>
      </c>
      <c r="B931" s="3" t="str">
        <f t="shared" si="21"/>
        <v>Email instauration Abilify Maintena 960 mg_FR-AM2-2400029</v>
      </c>
      <c r="C931" s="3" t="str">
        <f>HYPERLINK("https://otsuka-europe-crm.veevavault.com/ui/#object/sent_email__v/VBL000000014147", "SE-001399887")</f>
        <v>SE-001399887</v>
      </c>
      <c r="D931" s="4" t="s">
        <v>11</v>
      </c>
      <c r="E931" s="5">
        <v>0</v>
      </c>
      <c r="F931" s="5">
        <v>0</v>
      </c>
      <c r="G931" s="5">
        <v>0</v>
      </c>
      <c r="H931" s="4" t="s">
        <v>11</v>
      </c>
      <c r="I931" s="5">
        <v>0</v>
      </c>
      <c r="J931" s="4">
        <v>46036.688634259262</v>
      </c>
    </row>
    <row r="932" spans="1:10" x14ac:dyDescent="0.2">
      <c r="A932" s="2" t="s">
        <v>10</v>
      </c>
      <c r="B932" s="3" t="str">
        <f t="shared" si="21"/>
        <v>Email instauration Abilify Maintena 960 mg_FR-AM2-2400029</v>
      </c>
      <c r="C932" s="3" t="str">
        <f>HYPERLINK("https://otsuka-europe-crm.veevavault.com/ui/#object/sent_email__v/VBL000000014148", "SE-001399888")</f>
        <v>SE-001399888</v>
      </c>
      <c r="D932" s="4" t="s">
        <v>11</v>
      </c>
      <c r="E932" s="5">
        <v>0</v>
      </c>
      <c r="F932" s="5">
        <v>0</v>
      </c>
      <c r="G932" s="5">
        <v>0</v>
      </c>
      <c r="H932" s="4" t="s">
        <v>11</v>
      </c>
      <c r="I932" s="5">
        <v>0</v>
      </c>
      <c r="J932" s="4">
        <v>46036.724780092591</v>
      </c>
    </row>
    <row r="933" spans="1:10" x14ac:dyDescent="0.2">
      <c r="A933" s="2" t="s">
        <v>10</v>
      </c>
      <c r="B933" s="3" t="str">
        <f t="shared" si="21"/>
        <v>Email instauration Abilify Maintena 960 mg_FR-AM2-2400029</v>
      </c>
      <c r="C933" s="3" t="str">
        <f>HYPERLINK("https://otsuka-europe-crm.veevavault.com/ui/#object/sent_email__v/VBL000000012957", "SE-001399940")</f>
        <v>SE-001399940</v>
      </c>
      <c r="D933" s="4">
        <v>46037.57671296296</v>
      </c>
      <c r="E933" s="5">
        <v>1</v>
      </c>
      <c r="F933" s="5">
        <v>1</v>
      </c>
      <c r="G933" s="5">
        <v>0</v>
      </c>
      <c r="H933" s="4" t="s">
        <v>11</v>
      </c>
      <c r="I933" s="5">
        <v>0</v>
      </c>
      <c r="J933" s="4">
        <v>46037.576458333337</v>
      </c>
    </row>
    <row r="934" spans="1:10" x14ac:dyDescent="0.2">
      <c r="A934" s="2" t="s">
        <v>10</v>
      </c>
      <c r="B934" s="3" t="str">
        <f t="shared" si="21"/>
        <v>Email instauration Abilify Maintena 960 mg_FR-AM2-2400029</v>
      </c>
      <c r="C934" s="3" t="str">
        <f>HYPERLINK("https://otsuka-europe-crm.veevavault.com/ui/#object/sent_email__v/VBL000000012990", "SE-001400016")</f>
        <v>SE-001400016</v>
      </c>
      <c r="D934" s="4">
        <v>46038.30846064815</v>
      </c>
      <c r="E934" s="5">
        <v>1</v>
      </c>
      <c r="F934" s="5">
        <v>1</v>
      </c>
      <c r="G934" s="5">
        <v>0</v>
      </c>
      <c r="H934" s="4" t="s">
        <v>11</v>
      </c>
      <c r="I934" s="5">
        <v>0</v>
      </c>
      <c r="J934" s="4">
        <v>46037.747152777774</v>
      </c>
    </row>
    <row r="935" spans="1:10" x14ac:dyDescent="0.2">
      <c r="A935" s="2" t="s">
        <v>10</v>
      </c>
      <c r="B935" s="3" t="str">
        <f t="shared" si="21"/>
        <v>Email instauration Abilify Maintena 960 mg_FR-AM2-2400029</v>
      </c>
      <c r="C935" s="3" t="str">
        <f>HYPERLINK("https://otsuka-europe-crm.veevavault.com/ui/#object/sent_email__v/VBL000000012991", "SE-001400017")</f>
        <v>SE-001400017</v>
      </c>
      <c r="D935" s="4">
        <v>46037.917627314811</v>
      </c>
      <c r="E935" s="5">
        <v>1</v>
      </c>
      <c r="F935" s="5">
        <v>2</v>
      </c>
      <c r="G935" s="5">
        <v>0</v>
      </c>
      <c r="H935" s="4" t="s">
        <v>11</v>
      </c>
      <c r="I935" s="5">
        <v>0</v>
      </c>
      <c r="J935" s="4">
        <v>46037.747430555559</v>
      </c>
    </row>
    <row r="936" spans="1:10" x14ac:dyDescent="0.2">
      <c r="A936" s="2" t="s">
        <v>10</v>
      </c>
      <c r="B936" s="3" t="str">
        <f t="shared" si="21"/>
        <v>Email instauration Abilify Maintena 960 mg_FR-AM2-2400029</v>
      </c>
      <c r="C936" s="3" t="str">
        <f>HYPERLINK("https://otsuka-europe-crm.veevavault.com/ui/#object/sent_email__v/VBL000000015031", "SE-001400092")</f>
        <v>SE-001400092</v>
      </c>
      <c r="D936" s="4">
        <v>46038.476319444446</v>
      </c>
      <c r="E936" s="5">
        <v>1</v>
      </c>
      <c r="F936" s="5">
        <v>2</v>
      </c>
      <c r="G936" s="5">
        <v>0</v>
      </c>
      <c r="H936" s="4" t="s">
        <v>11</v>
      </c>
      <c r="I936" s="5">
        <v>0</v>
      </c>
      <c r="J936" s="4">
        <v>46038.444988425923</v>
      </c>
    </row>
    <row r="937" spans="1:10" x14ac:dyDescent="0.2">
      <c r="A937" s="2" t="s">
        <v>10</v>
      </c>
      <c r="B937" s="3" t="str">
        <f t="shared" si="21"/>
        <v>Email instauration Abilify Maintena 960 mg_FR-AM2-2400029</v>
      </c>
      <c r="C937" s="3" t="str">
        <f>HYPERLINK("https://otsuka-europe-crm.veevavault.com/ui/#object/sent_email__v/VBL000000016068", "SE-001400151")</f>
        <v>SE-001400151</v>
      </c>
      <c r="D937" s="4" t="s">
        <v>11</v>
      </c>
      <c r="E937" s="5">
        <v>0</v>
      </c>
      <c r="F937" s="5">
        <v>0</v>
      </c>
      <c r="G937" s="5">
        <v>0</v>
      </c>
      <c r="H937" s="4" t="s">
        <v>11</v>
      </c>
      <c r="I937" s="5">
        <v>0</v>
      </c>
      <c r="J937" s="4">
        <v>46038.533842592595</v>
      </c>
    </row>
    <row r="938" spans="1:10" x14ac:dyDescent="0.2">
      <c r="A938" s="2" t="s">
        <v>10</v>
      </c>
      <c r="B938" s="3" t="str">
        <f t="shared" si="21"/>
        <v>Email instauration Abilify Maintena 960 mg_FR-AM2-2400029</v>
      </c>
      <c r="C938" s="3" t="str">
        <f>HYPERLINK("https://otsuka-europe-crm.veevavault.com/ui/#object/sent_email__v/VBL000000016075", "SE-001400174")</f>
        <v>SE-001400174</v>
      </c>
      <c r="D938" s="4" t="s">
        <v>11</v>
      </c>
      <c r="E938" s="5">
        <v>0</v>
      </c>
      <c r="F938" s="5">
        <v>0</v>
      </c>
      <c r="G938" s="5">
        <v>0</v>
      </c>
      <c r="H938" s="4" t="s">
        <v>11</v>
      </c>
      <c r="I938" s="5">
        <v>0</v>
      </c>
      <c r="J938" s="4">
        <v>46038.669849537036</v>
      </c>
    </row>
    <row r="939" spans="1:10" x14ac:dyDescent="0.2">
      <c r="A939" s="2" t="s">
        <v>10</v>
      </c>
      <c r="B939" s="3" t="str">
        <f t="shared" si="21"/>
        <v>Email instauration Abilify Maintena 960 mg_FR-AM2-2400029</v>
      </c>
      <c r="C939" s="3" t="str">
        <f>HYPERLINK("https://otsuka-europe-crm.veevavault.com/ui/#object/sent_email__v/VBL000000016076", "SE-001400175")</f>
        <v>SE-001400175</v>
      </c>
      <c r="D939" s="4" t="s">
        <v>11</v>
      </c>
      <c r="E939" s="5">
        <v>0</v>
      </c>
      <c r="F939" s="5">
        <v>0</v>
      </c>
      <c r="G939" s="5">
        <v>0</v>
      </c>
      <c r="H939" s="4" t="s">
        <v>11</v>
      </c>
      <c r="I939" s="5">
        <v>0</v>
      </c>
      <c r="J939" s="4">
        <v>46038.670613425929</v>
      </c>
    </row>
    <row r="940" spans="1:10" x14ac:dyDescent="0.2">
      <c r="A940" s="2" t="s">
        <v>10</v>
      </c>
      <c r="B940" s="3" t="str">
        <f t="shared" si="21"/>
        <v>Email instauration Abilify Maintena 960 mg_FR-AM2-2400029</v>
      </c>
      <c r="C940" s="3" t="str">
        <f>HYPERLINK("https://otsuka-europe-crm.veevavault.com/ui/#object/sent_email__v/VBL000000016077", "SE-001400176")</f>
        <v>SE-001400176</v>
      </c>
      <c r="D940" s="4" t="s">
        <v>11</v>
      </c>
      <c r="E940" s="5">
        <v>0</v>
      </c>
      <c r="F940" s="5">
        <v>0</v>
      </c>
      <c r="G940" s="5">
        <v>0</v>
      </c>
      <c r="H940" s="4" t="s">
        <v>11</v>
      </c>
      <c r="I940" s="5">
        <v>0</v>
      </c>
      <c r="J940" s="4">
        <v>46038.671099537038</v>
      </c>
    </row>
    <row r="941" spans="1:10" x14ac:dyDescent="0.2">
      <c r="A941" s="2" t="s">
        <v>10</v>
      </c>
      <c r="B941" s="3" t="str">
        <f t="shared" ref="B941:B1006" si="22">HYPERLINK("https://otsuka-europe-crm.veevavault.com/ui/#object/approved_document__v/V5OZ025E82N8159", "Email instauration Abilify Maintena 960 mg_FR-AM2-2400029")</f>
        <v>Email instauration Abilify Maintena 960 mg_FR-AM2-2400029</v>
      </c>
      <c r="C941" s="3" t="str">
        <f>HYPERLINK("https://otsuka-europe-crm.veevavault.com/ui/#object/sent_email__v/VBL000000015130", "SE-001400240")</f>
        <v>SE-001400240</v>
      </c>
      <c r="D941" s="4">
        <v>46043.450949074075</v>
      </c>
      <c r="E941" s="5">
        <v>1</v>
      </c>
      <c r="F941" s="5">
        <v>1</v>
      </c>
      <c r="G941" s="5">
        <v>0</v>
      </c>
      <c r="H941" s="4" t="s">
        <v>11</v>
      </c>
      <c r="I941" s="5">
        <v>0</v>
      </c>
      <c r="J941" s="4">
        <v>46043.429236111115</v>
      </c>
    </row>
    <row r="942" spans="1:10" x14ac:dyDescent="0.2">
      <c r="A942" s="2" t="s">
        <v>10</v>
      </c>
      <c r="B942" s="3" t="str">
        <f t="shared" si="22"/>
        <v>Email instauration Abilify Maintena 960 mg_FR-AM2-2400029</v>
      </c>
      <c r="C942" s="3" t="str">
        <f>HYPERLINK("https://otsuka-europe-crm.veevavault.com/ui/#object/sent_email__v/VBL000000015131", "SE-001400241")</f>
        <v>SE-001400241</v>
      </c>
      <c r="D942" s="4" t="s">
        <v>11</v>
      </c>
      <c r="E942" s="5">
        <v>0</v>
      </c>
      <c r="F942" s="5">
        <v>0</v>
      </c>
      <c r="G942" s="5">
        <v>0</v>
      </c>
      <c r="H942" s="4" t="s">
        <v>11</v>
      </c>
      <c r="I942" s="5">
        <v>0</v>
      </c>
      <c r="J942" s="4">
        <v>46043.429236111115</v>
      </c>
    </row>
    <row r="943" spans="1:10" x14ac:dyDescent="0.2">
      <c r="A943" s="2" t="s">
        <v>10</v>
      </c>
      <c r="B943" s="3" t="str">
        <f t="shared" si="22"/>
        <v>Email instauration Abilify Maintena 960 mg_FR-AM2-2400029</v>
      </c>
      <c r="C943" s="3" t="str">
        <f>HYPERLINK("https://otsuka-europe-crm.veevavault.com/ui/#object/sent_email__v/VBL000000015218", "SE-001400426")</f>
        <v>SE-001400426</v>
      </c>
      <c r="D943" s="4">
        <v>46043.454247685186</v>
      </c>
      <c r="E943" s="5">
        <v>1</v>
      </c>
      <c r="F943" s="5">
        <v>1</v>
      </c>
      <c r="G943" s="5">
        <v>0</v>
      </c>
      <c r="H943" s="4" t="s">
        <v>11</v>
      </c>
      <c r="I943" s="5">
        <v>0</v>
      </c>
      <c r="J943" s="4">
        <v>46043.429016203707</v>
      </c>
    </row>
    <row r="944" spans="1:10" x14ac:dyDescent="0.2">
      <c r="A944" s="2" t="s">
        <v>10</v>
      </c>
      <c r="B944" s="3" t="str">
        <f t="shared" si="22"/>
        <v>Email instauration Abilify Maintena 960 mg_FR-AM2-2400029</v>
      </c>
      <c r="C944" s="3" t="str">
        <f>HYPERLINK("https://otsuka-europe-crm.veevavault.com/ui/#object/sent_email__v/VBL000000016210", "SE-001400428")</f>
        <v>SE-001400428</v>
      </c>
      <c r="D944" s="4" t="s">
        <v>11</v>
      </c>
      <c r="E944" s="5">
        <v>0</v>
      </c>
      <c r="F944" s="5">
        <v>0</v>
      </c>
      <c r="G944" s="5">
        <v>0</v>
      </c>
      <c r="H944" s="4" t="s">
        <v>11</v>
      </c>
      <c r="I944" s="5">
        <v>0</v>
      </c>
      <c r="J944" s="4">
        <v>46043.429305555554</v>
      </c>
    </row>
    <row r="945" spans="1:10" x14ac:dyDescent="0.2">
      <c r="A945" s="2" t="s">
        <v>10</v>
      </c>
      <c r="B945" s="3" t="str">
        <f t="shared" si="22"/>
        <v>Email instauration Abilify Maintena 960 mg_FR-AM2-2400029</v>
      </c>
      <c r="C945" s="3" t="str">
        <f>HYPERLINK("https://otsuka-europe-crm.veevavault.com/ui/#object/sent_email__v/VBL000000016346", "SE-001400573")</f>
        <v>SE-001400573</v>
      </c>
      <c r="D945" s="4" t="s">
        <v>11</v>
      </c>
      <c r="E945" s="5">
        <v>0</v>
      </c>
      <c r="F945" s="5">
        <v>0</v>
      </c>
      <c r="G945" s="5">
        <v>0</v>
      </c>
      <c r="H945" s="4" t="s">
        <v>11</v>
      </c>
      <c r="I945" s="5">
        <v>0</v>
      </c>
      <c r="J945" s="4">
        <v>46043.429236111115</v>
      </c>
    </row>
    <row r="946" spans="1:10" x14ac:dyDescent="0.2">
      <c r="A946" s="2" t="s">
        <v>10</v>
      </c>
      <c r="B946" s="3" t="str">
        <f t="shared" si="22"/>
        <v>Email instauration Abilify Maintena 960 mg_FR-AM2-2400029</v>
      </c>
      <c r="C946" s="3" t="str">
        <f>HYPERLINK("https://otsuka-europe-crm.veevavault.com/ui/#object/sent_email__v/VBL000000016348", "SE-001400577")</f>
        <v>SE-001400577</v>
      </c>
      <c r="D946" s="4" t="s">
        <v>11</v>
      </c>
      <c r="E946" s="5">
        <v>0</v>
      </c>
      <c r="F946" s="5">
        <v>0</v>
      </c>
      <c r="G946" s="5">
        <v>0</v>
      </c>
      <c r="H946" s="4" t="s">
        <v>11</v>
      </c>
      <c r="I946" s="5">
        <v>0</v>
      </c>
      <c r="J946" s="4">
        <v>46043.429097222222</v>
      </c>
    </row>
    <row r="947" spans="1:10" x14ac:dyDescent="0.2">
      <c r="A947" s="2" t="s">
        <v>10</v>
      </c>
      <c r="B947" s="3" t="str">
        <f t="shared" si="22"/>
        <v>Email instauration Abilify Maintena 960 mg_FR-AM2-2400029</v>
      </c>
      <c r="C947" s="3" t="str">
        <f>HYPERLINK("https://otsuka-europe-crm.veevavault.com/ui/#object/sent_email__v/VBL000000016350", "SE-001400580")</f>
        <v>SE-001400580</v>
      </c>
      <c r="D947" s="4">
        <v>46048.725416666668</v>
      </c>
      <c r="E947" s="5">
        <v>1</v>
      </c>
      <c r="F947" s="5">
        <v>2</v>
      </c>
      <c r="G947" s="5">
        <v>0</v>
      </c>
      <c r="H947" s="4" t="s">
        <v>11</v>
      </c>
      <c r="I947" s="5">
        <v>0</v>
      </c>
      <c r="J947" s="4">
        <v>46043.429201388892</v>
      </c>
    </row>
    <row r="948" spans="1:10" x14ac:dyDescent="0.2">
      <c r="A948" s="2" t="s">
        <v>10</v>
      </c>
      <c r="B948" s="3" t="str">
        <f t="shared" si="22"/>
        <v>Email instauration Abilify Maintena 960 mg_FR-AM2-2400029</v>
      </c>
      <c r="C948" s="3" t="str">
        <f>HYPERLINK("https://otsuka-europe-crm.veevavault.com/ui/#object/sent_email__v/VBL000000015287", "SE-001400741")</f>
        <v>SE-001400741</v>
      </c>
      <c r="D948" s="4" t="s">
        <v>11</v>
      </c>
      <c r="E948" s="5">
        <v>0</v>
      </c>
      <c r="F948" s="5">
        <v>0</v>
      </c>
      <c r="G948" s="5">
        <v>0</v>
      </c>
      <c r="H948" s="4" t="s">
        <v>11</v>
      </c>
      <c r="I948" s="5">
        <v>0</v>
      </c>
      <c r="J948" s="4">
        <v>46043.700601851851</v>
      </c>
    </row>
    <row r="949" spans="1:10" x14ac:dyDescent="0.2">
      <c r="A949" s="2" t="s">
        <v>10</v>
      </c>
      <c r="B949" s="3" t="str">
        <f t="shared" si="22"/>
        <v>Email instauration Abilify Maintena 960 mg_FR-AM2-2400029</v>
      </c>
      <c r="C949" s="3" t="str">
        <f>HYPERLINK("https://otsuka-europe-crm.veevavault.com/ui/#object/sent_email__v/VBL000000016500", "SE-001400783")</f>
        <v>SE-001400783</v>
      </c>
      <c r="D949" s="4" t="s">
        <v>11</v>
      </c>
      <c r="E949" s="5">
        <v>0</v>
      </c>
      <c r="F949" s="5">
        <v>0</v>
      </c>
      <c r="G949" s="5">
        <v>0</v>
      </c>
      <c r="H949" s="4" t="s">
        <v>11</v>
      </c>
      <c r="I949" s="5">
        <v>0</v>
      </c>
      <c r="J949" s="4">
        <v>46044.480636574073</v>
      </c>
    </row>
    <row r="950" spans="1:10" x14ac:dyDescent="0.2">
      <c r="A950" s="2" t="s">
        <v>10</v>
      </c>
      <c r="B950" s="3" t="str">
        <f t="shared" si="22"/>
        <v>Email instauration Abilify Maintena 960 mg_FR-AM2-2400029</v>
      </c>
      <c r="C950" s="3" t="str">
        <f>HYPERLINK("https://otsuka-europe-crm.veevavault.com/ui/#object/sent_email__v/VBL000000016501", "SE-001400785")</f>
        <v>SE-001400785</v>
      </c>
      <c r="D950" s="4">
        <v>46044.565289351849</v>
      </c>
      <c r="E950" s="5">
        <v>1</v>
      </c>
      <c r="F950" s="5">
        <v>1</v>
      </c>
      <c r="G950" s="5">
        <v>0</v>
      </c>
      <c r="H950" s="4" t="s">
        <v>11</v>
      </c>
      <c r="I950" s="5">
        <v>0</v>
      </c>
      <c r="J950" s="4">
        <v>46044.501967592594</v>
      </c>
    </row>
    <row r="951" spans="1:10" x14ac:dyDescent="0.2">
      <c r="A951" s="2" t="s">
        <v>10</v>
      </c>
      <c r="B951" s="3" t="str">
        <f t="shared" si="22"/>
        <v>Email instauration Abilify Maintena 960 mg_FR-AM2-2400029</v>
      </c>
      <c r="C951" s="3" t="str">
        <f>HYPERLINK("https://otsuka-europe-crm.veevavault.com/ui/#object/sent_email__v/VBL000000015310", "SE-001400814")</f>
        <v>SE-001400814</v>
      </c>
      <c r="D951" s="4" t="s">
        <v>11</v>
      </c>
      <c r="E951" s="5">
        <v>0</v>
      </c>
      <c r="F951" s="5">
        <v>0</v>
      </c>
      <c r="G951" s="5">
        <v>0</v>
      </c>
      <c r="H951" s="4" t="s">
        <v>11</v>
      </c>
      <c r="I951" s="5">
        <v>0</v>
      </c>
      <c r="J951" s="4">
        <v>46044.586562500001</v>
      </c>
    </row>
    <row r="952" spans="1:10" x14ac:dyDescent="0.2">
      <c r="A952" s="2" t="s">
        <v>10</v>
      </c>
      <c r="B952" s="3" t="str">
        <f t="shared" si="22"/>
        <v>Email instauration Abilify Maintena 960 mg_FR-AM2-2400029</v>
      </c>
      <c r="C952" s="3" t="str">
        <f>HYPERLINK("https://otsuka-europe-crm.veevavault.com/ui/#object/sent_email__v/VBL000000016554", "SE-001400859")</f>
        <v>SE-001400859</v>
      </c>
      <c r="D952" s="4" t="s">
        <v>11</v>
      </c>
      <c r="E952" s="5">
        <v>0</v>
      </c>
      <c r="F952" s="5">
        <v>0</v>
      </c>
      <c r="G952" s="5">
        <v>0</v>
      </c>
      <c r="H952" s="4" t="s">
        <v>11</v>
      </c>
      <c r="I952" s="5">
        <v>0</v>
      </c>
      <c r="J952" s="4">
        <v>46045.477673611109</v>
      </c>
    </row>
    <row r="953" spans="1:10" x14ac:dyDescent="0.2">
      <c r="A953" s="2" t="s">
        <v>10</v>
      </c>
      <c r="B953" s="3" t="str">
        <f t="shared" si="22"/>
        <v>Email instauration Abilify Maintena 960 mg_FR-AM2-2400029</v>
      </c>
      <c r="C953" s="3" t="str">
        <f>HYPERLINK("https://otsuka-europe-crm.veevavault.com/ui/#object/sent_email__v/VBL000000016574", "SE-001400887")</f>
        <v>SE-001400887</v>
      </c>
      <c r="D953" s="4" t="s">
        <v>11</v>
      </c>
      <c r="E953" s="5">
        <v>0</v>
      </c>
      <c r="F953" s="5">
        <v>0</v>
      </c>
      <c r="G953" s="5">
        <v>0</v>
      </c>
      <c r="H953" s="4" t="s">
        <v>11</v>
      </c>
      <c r="I953" s="5">
        <v>0</v>
      </c>
      <c r="J953" s="4">
        <v>46045.575891203705</v>
      </c>
    </row>
    <row r="954" spans="1:10" x14ac:dyDescent="0.2">
      <c r="A954" s="2" t="s">
        <v>10</v>
      </c>
      <c r="B954" s="3" t="str">
        <f t="shared" si="22"/>
        <v>Email instauration Abilify Maintena 960 mg_FR-AM2-2400029</v>
      </c>
      <c r="C954" s="3" t="str">
        <f>HYPERLINK("https://otsuka-europe-crm.veevavault.com/ui/#object/sent_email__v/VBL000000016577", "SE-001400893")</f>
        <v>SE-001400893</v>
      </c>
      <c r="D954" s="4">
        <v>46045.780578703707</v>
      </c>
      <c r="E954" s="5">
        <v>1</v>
      </c>
      <c r="F954" s="5">
        <v>2</v>
      </c>
      <c r="G954" s="5">
        <v>0</v>
      </c>
      <c r="H954" s="4" t="s">
        <v>11</v>
      </c>
      <c r="I954" s="5">
        <v>0</v>
      </c>
      <c r="J954" s="4">
        <v>46045.678043981483</v>
      </c>
    </row>
    <row r="955" spans="1:10" x14ac:dyDescent="0.2">
      <c r="A955" s="2" t="s">
        <v>10</v>
      </c>
      <c r="B955" s="3" t="str">
        <f t="shared" si="22"/>
        <v>Email instauration Abilify Maintena 960 mg_FR-AM2-2400029</v>
      </c>
      <c r="C955" s="3" t="str">
        <f>HYPERLINK("https://otsuka-europe-crm.veevavault.com/ui/#object/sent_email__v/VBL000000015979", "SE-001401946")</f>
        <v>SE-001401946</v>
      </c>
      <c r="D955" s="4" t="s">
        <v>11</v>
      </c>
      <c r="E955" s="5">
        <v>0</v>
      </c>
      <c r="F955" s="5">
        <v>0</v>
      </c>
      <c r="G955" s="5">
        <v>0</v>
      </c>
      <c r="H955" s="4" t="s">
        <v>11</v>
      </c>
      <c r="I955" s="5">
        <v>0</v>
      </c>
      <c r="J955" s="4">
        <v>46049.526562500003</v>
      </c>
    </row>
    <row r="956" spans="1:10" x14ac:dyDescent="0.2">
      <c r="A956" s="2" t="s">
        <v>10</v>
      </c>
      <c r="B956" s="3" t="str">
        <f t="shared" si="22"/>
        <v>Email instauration Abilify Maintena 960 mg_FR-AM2-2400029</v>
      </c>
      <c r="C956" s="3" t="str">
        <f>HYPERLINK("https://otsuka-europe-crm.veevavault.com/ui/#object/sent_email__v/VBL000000017012", "SE-001401947")</f>
        <v>SE-001401947</v>
      </c>
      <c r="D956" s="4">
        <v>46076.796157407407</v>
      </c>
      <c r="E956" s="5">
        <v>1</v>
      </c>
      <c r="F956" s="5">
        <v>5</v>
      </c>
      <c r="G956" s="5">
        <v>0</v>
      </c>
      <c r="H956" s="4" t="s">
        <v>11</v>
      </c>
      <c r="I956" s="5">
        <v>0</v>
      </c>
      <c r="J956" s="4">
        <v>46049.527233796296</v>
      </c>
    </row>
    <row r="957" spans="1:10" x14ac:dyDescent="0.2">
      <c r="A957" s="2" t="s">
        <v>10</v>
      </c>
      <c r="B957" s="3" t="str">
        <f t="shared" si="22"/>
        <v>Email instauration Abilify Maintena 960 mg_FR-AM2-2400029</v>
      </c>
      <c r="C957" s="3" t="str">
        <f>HYPERLINK("https://otsuka-europe-crm.veevavault.com/ui/#object/sent_email__v/VBL000000017013", "SE-001401948")</f>
        <v>SE-001401948</v>
      </c>
      <c r="D957" s="4">
        <v>46049.535636574074</v>
      </c>
      <c r="E957" s="5">
        <v>1</v>
      </c>
      <c r="F957" s="5">
        <v>1</v>
      </c>
      <c r="G957" s="5">
        <v>0</v>
      </c>
      <c r="H957" s="4" t="s">
        <v>11</v>
      </c>
      <c r="I957" s="5">
        <v>0</v>
      </c>
      <c r="J957" s="4">
        <v>46049.528194444443</v>
      </c>
    </row>
    <row r="958" spans="1:10" x14ac:dyDescent="0.2">
      <c r="A958" s="2" t="s">
        <v>10</v>
      </c>
      <c r="B958" s="3" t="str">
        <f t="shared" si="22"/>
        <v>Email instauration Abilify Maintena 960 mg_FR-AM2-2400029</v>
      </c>
      <c r="C958" s="3" t="str">
        <f>HYPERLINK("https://otsuka-europe-crm.veevavault.com/ui/#object/sent_email__v/VBL000000017014", "SE-001401949")</f>
        <v>SE-001401949</v>
      </c>
      <c r="D958" s="4" t="s">
        <v>11</v>
      </c>
      <c r="E958" s="5">
        <v>0</v>
      </c>
      <c r="F958" s="5">
        <v>0</v>
      </c>
      <c r="G958" s="5">
        <v>0</v>
      </c>
      <c r="H958" s="4" t="s">
        <v>11</v>
      </c>
      <c r="I958" s="5">
        <v>0</v>
      </c>
      <c r="J958" s="4">
        <v>46049.528506944444</v>
      </c>
    </row>
    <row r="959" spans="1:10" x14ac:dyDescent="0.2">
      <c r="A959" s="2" t="s">
        <v>10</v>
      </c>
      <c r="B959" s="3" t="str">
        <f t="shared" si="22"/>
        <v>Email instauration Abilify Maintena 960 mg_FR-AM2-2400029</v>
      </c>
      <c r="C959" s="3" t="str">
        <f>HYPERLINK("https://otsuka-europe-crm.veevavault.com/ui/#object/sent_email__v/VBL000000015980", "SE-001401950")</f>
        <v>SE-001401950</v>
      </c>
      <c r="D959" s="4" t="s">
        <v>11</v>
      </c>
      <c r="E959" s="5">
        <v>0</v>
      </c>
      <c r="F959" s="5">
        <v>0</v>
      </c>
      <c r="G959" s="5">
        <v>0</v>
      </c>
      <c r="H959" s="4" t="s">
        <v>11</v>
      </c>
      <c r="I959" s="5">
        <v>0</v>
      </c>
      <c r="J959" s="4">
        <v>46049.528692129628</v>
      </c>
    </row>
    <row r="960" spans="1:10" x14ac:dyDescent="0.2">
      <c r="A960" s="2" t="s">
        <v>10</v>
      </c>
      <c r="B960" s="3" t="str">
        <f t="shared" si="22"/>
        <v>Email instauration Abilify Maintena 960 mg_FR-AM2-2400029</v>
      </c>
      <c r="C960" s="3" t="str">
        <f>HYPERLINK("https://otsuka-europe-crm.veevavault.com/ui/#object/sent_email__v/VBL000000015981", "SE-001401960")</f>
        <v>SE-001401960</v>
      </c>
      <c r="D960" s="4" t="s">
        <v>11</v>
      </c>
      <c r="E960" s="5">
        <v>0</v>
      </c>
      <c r="F960" s="5">
        <v>0</v>
      </c>
      <c r="G960" s="5">
        <v>0</v>
      </c>
      <c r="H960" s="4" t="s">
        <v>11</v>
      </c>
      <c r="I960" s="5">
        <v>0</v>
      </c>
      <c r="J960" s="4">
        <v>46049.539571759262</v>
      </c>
    </row>
    <row r="961" spans="1:10" x14ac:dyDescent="0.2">
      <c r="A961" s="2" t="s">
        <v>10</v>
      </c>
      <c r="B961" s="3" t="str">
        <f t="shared" si="22"/>
        <v>Email instauration Abilify Maintena 960 mg_FR-AM2-2400029</v>
      </c>
      <c r="C961" s="3" t="str">
        <f>HYPERLINK("https://otsuka-europe-crm.veevavault.com/ui/#object/sent_email__v/VBL000000017024", "SE-001401961")</f>
        <v>SE-001401961</v>
      </c>
      <c r="D961" s="4">
        <v>46049.777303240742</v>
      </c>
      <c r="E961" s="5">
        <v>1</v>
      </c>
      <c r="F961" s="5">
        <v>1</v>
      </c>
      <c r="G961" s="5">
        <v>0</v>
      </c>
      <c r="H961" s="4" t="s">
        <v>11</v>
      </c>
      <c r="I961" s="5">
        <v>0</v>
      </c>
      <c r="J961" s="4">
        <v>46049.539733796293</v>
      </c>
    </row>
    <row r="962" spans="1:10" x14ac:dyDescent="0.2">
      <c r="A962" s="2" t="s">
        <v>10</v>
      </c>
      <c r="B962" s="3" t="str">
        <f t="shared" si="22"/>
        <v>Email instauration Abilify Maintena 960 mg_FR-AM2-2400029</v>
      </c>
      <c r="C962" s="3" t="str">
        <f>HYPERLINK("https://otsuka-europe-crm.veevavault.com/ui/#object/sent_email__v/VBL000000015982", "SE-001401962")</f>
        <v>SE-001401962</v>
      </c>
      <c r="D962" s="4" t="s">
        <v>11</v>
      </c>
      <c r="E962" s="5">
        <v>0</v>
      </c>
      <c r="F962" s="5">
        <v>0</v>
      </c>
      <c r="G962" s="5">
        <v>0</v>
      </c>
      <c r="H962" s="4" t="s">
        <v>11</v>
      </c>
      <c r="I962" s="5">
        <v>0</v>
      </c>
      <c r="J962" s="4">
        <v>46049.540162037039</v>
      </c>
    </row>
    <row r="963" spans="1:10" x14ac:dyDescent="0.2">
      <c r="A963" s="2" t="s">
        <v>10</v>
      </c>
      <c r="B963" s="3" t="str">
        <f t="shared" si="22"/>
        <v>Email instauration Abilify Maintena 960 mg_FR-AM2-2400029</v>
      </c>
      <c r="C963" s="3" t="str">
        <f>HYPERLINK("https://otsuka-europe-crm.veevavault.com/ui/#object/sent_email__v/VBL000000015983", "SE-001401963")</f>
        <v>SE-001401963</v>
      </c>
      <c r="D963" s="4">
        <v>46051.799004629633</v>
      </c>
      <c r="E963" s="5">
        <v>1</v>
      </c>
      <c r="F963" s="5">
        <v>1</v>
      </c>
      <c r="G963" s="5">
        <v>0</v>
      </c>
      <c r="H963" s="4" t="s">
        <v>11</v>
      </c>
      <c r="I963" s="5">
        <v>0</v>
      </c>
      <c r="J963" s="4">
        <v>46049.540393518517</v>
      </c>
    </row>
    <row r="964" spans="1:10" x14ac:dyDescent="0.2">
      <c r="A964" s="2" t="s">
        <v>10</v>
      </c>
      <c r="B964" s="3" t="str">
        <f t="shared" si="22"/>
        <v>Email instauration Abilify Maintena 960 mg_FR-AM2-2400029</v>
      </c>
      <c r="C964" s="3" t="str">
        <f>HYPERLINK("https://otsuka-europe-crm.veevavault.com/ui/#object/sent_email__v/VBL000000017025", "SE-001401964")</f>
        <v>SE-001401964</v>
      </c>
      <c r="D964" s="4" t="s">
        <v>11</v>
      </c>
      <c r="E964" s="5">
        <v>0</v>
      </c>
      <c r="F964" s="5">
        <v>0</v>
      </c>
      <c r="G964" s="5">
        <v>0</v>
      </c>
      <c r="H964" s="4" t="s">
        <v>11</v>
      </c>
      <c r="I964" s="5">
        <v>0</v>
      </c>
      <c r="J964" s="4">
        <v>46049.542129629626</v>
      </c>
    </row>
    <row r="965" spans="1:10" x14ac:dyDescent="0.2">
      <c r="A965" s="2" t="s">
        <v>10</v>
      </c>
      <c r="B965" s="3" t="str">
        <f t="shared" si="22"/>
        <v>Email instauration Abilify Maintena 960 mg_FR-AM2-2400029</v>
      </c>
      <c r="C965" s="3" t="str">
        <f>HYPERLINK("https://otsuka-europe-crm.veevavault.com/ui/#object/sent_email__v/VBL000000017026", "SE-001401965")</f>
        <v>SE-001401965</v>
      </c>
      <c r="D965" s="4">
        <v>46053.709814814814</v>
      </c>
      <c r="E965" s="5">
        <v>1</v>
      </c>
      <c r="F965" s="5">
        <v>1</v>
      </c>
      <c r="G965" s="5">
        <v>0</v>
      </c>
      <c r="H965" s="4" t="s">
        <v>11</v>
      </c>
      <c r="I965" s="5">
        <v>0</v>
      </c>
      <c r="J965" s="4">
        <v>46049.547106481485</v>
      </c>
    </row>
    <row r="966" spans="1:10" x14ac:dyDescent="0.2">
      <c r="A966" s="2" t="s">
        <v>10</v>
      </c>
      <c r="B966" s="3" t="str">
        <f t="shared" si="22"/>
        <v>Email instauration Abilify Maintena 960 mg_FR-AM2-2400029</v>
      </c>
      <c r="C966" s="3" t="str">
        <f>HYPERLINK("https://otsuka-europe-crm.veevavault.com/ui/#object/sent_email__v/VBL000000017027", "SE-001401966")</f>
        <v>SE-001401966</v>
      </c>
      <c r="D966" s="4">
        <v>46050.365613425929</v>
      </c>
      <c r="E966" s="5">
        <v>1</v>
      </c>
      <c r="F966" s="5">
        <v>2</v>
      </c>
      <c r="G966" s="5">
        <v>0</v>
      </c>
      <c r="H966" s="4" t="s">
        <v>11</v>
      </c>
      <c r="I966" s="5">
        <v>0</v>
      </c>
      <c r="J966" s="4">
        <v>46049.547256944446</v>
      </c>
    </row>
    <row r="967" spans="1:10" x14ac:dyDescent="0.2">
      <c r="A967" s="2" t="s">
        <v>10</v>
      </c>
      <c r="B967" s="3" t="str">
        <f t="shared" si="22"/>
        <v>Email instauration Abilify Maintena 960 mg_FR-AM2-2400029</v>
      </c>
      <c r="C967" s="3" t="str">
        <f>HYPERLINK("https://otsuka-europe-crm.veevavault.com/ui/#object/sent_email__v/VBL000000017028", "SE-001401967")</f>
        <v>SE-001401967</v>
      </c>
      <c r="D967" s="4">
        <v>46049.595486111109</v>
      </c>
      <c r="E967" s="5">
        <v>1</v>
      </c>
      <c r="F967" s="5">
        <v>1</v>
      </c>
      <c r="G967" s="5">
        <v>0</v>
      </c>
      <c r="H967" s="4" t="s">
        <v>11</v>
      </c>
      <c r="I967" s="5">
        <v>0</v>
      </c>
      <c r="J967" s="4">
        <v>46049.547534722224</v>
      </c>
    </row>
    <row r="968" spans="1:10" x14ac:dyDescent="0.2">
      <c r="A968" s="2" t="s">
        <v>10</v>
      </c>
      <c r="B968" s="3" t="str">
        <f t="shared" si="22"/>
        <v>Email instauration Abilify Maintena 960 mg_FR-AM2-2400029</v>
      </c>
      <c r="C968" s="3" t="str">
        <f>HYPERLINK("https://otsuka-europe-crm.veevavault.com/ui/#object/sent_email__v/VBL000000017029", "SE-001401968")</f>
        <v>SE-001401968</v>
      </c>
      <c r="D968" s="4" t="s">
        <v>11</v>
      </c>
      <c r="E968" s="5">
        <v>0</v>
      </c>
      <c r="F968" s="5">
        <v>0</v>
      </c>
      <c r="G968" s="5">
        <v>0</v>
      </c>
      <c r="H968" s="4" t="s">
        <v>11</v>
      </c>
      <c r="I968" s="5">
        <v>0</v>
      </c>
      <c r="J968" s="4">
        <v>46049.547650462962</v>
      </c>
    </row>
    <row r="969" spans="1:10" x14ac:dyDescent="0.2">
      <c r="A969" s="2" t="s">
        <v>10</v>
      </c>
      <c r="B969" s="3" t="str">
        <f t="shared" si="22"/>
        <v>Email instauration Abilify Maintena 960 mg_FR-AM2-2400029</v>
      </c>
      <c r="C969" s="3" t="str">
        <f>HYPERLINK("https://otsuka-europe-crm.veevavault.com/ui/#object/sent_email__v/VBL000000017046", "SE-001402004")</f>
        <v>SE-001402004</v>
      </c>
      <c r="D969" s="4" t="s">
        <v>11</v>
      </c>
      <c r="E969" s="5">
        <v>0</v>
      </c>
      <c r="F969" s="5">
        <v>0</v>
      </c>
      <c r="G969" s="5">
        <v>0</v>
      </c>
      <c r="H969" s="4" t="s">
        <v>11</v>
      </c>
      <c r="I969" s="5">
        <v>0</v>
      </c>
      <c r="J969" s="4">
        <v>46049.631909722222</v>
      </c>
    </row>
    <row r="970" spans="1:10" x14ac:dyDescent="0.2">
      <c r="A970" s="2" t="s">
        <v>10</v>
      </c>
      <c r="B970" s="3" t="str">
        <f t="shared" si="22"/>
        <v>Email instauration Abilify Maintena 960 mg_FR-AM2-2400029</v>
      </c>
      <c r="C970" s="3" t="str">
        <f>HYPERLINK("https://otsuka-europe-crm.veevavault.com/ui/#object/sent_email__v/VBL000000017061", "SE-001402030")</f>
        <v>SE-001402030</v>
      </c>
      <c r="D970" s="4" t="s">
        <v>11</v>
      </c>
      <c r="E970" s="5">
        <v>0</v>
      </c>
      <c r="F970" s="5">
        <v>0</v>
      </c>
      <c r="G970" s="5">
        <v>0</v>
      </c>
      <c r="H970" s="4" t="s">
        <v>11</v>
      </c>
      <c r="I970" s="5">
        <v>0</v>
      </c>
      <c r="J970" s="4">
        <v>46050.379374999997</v>
      </c>
    </row>
    <row r="971" spans="1:10" x14ac:dyDescent="0.2">
      <c r="A971" s="2" t="s">
        <v>10</v>
      </c>
      <c r="B971" s="3" t="str">
        <f t="shared" si="22"/>
        <v>Email instauration Abilify Maintena 960 mg_FR-AM2-2400029</v>
      </c>
      <c r="C971" s="3" t="str">
        <f>HYPERLINK("https://otsuka-europe-crm.veevavault.com/ui/#object/sent_email__v/VBL000000018015", "SE-001402031")</f>
        <v>SE-001402031</v>
      </c>
      <c r="D971" s="4" t="s">
        <v>11</v>
      </c>
      <c r="E971" s="5">
        <v>0</v>
      </c>
      <c r="F971" s="5">
        <v>0</v>
      </c>
      <c r="G971" s="5">
        <v>0</v>
      </c>
      <c r="H971" s="4" t="s">
        <v>11</v>
      </c>
      <c r="I971" s="5">
        <v>0</v>
      </c>
      <c r="J971" s="4">
        <v>46050.379652777781</v>
      </c>
    </row>
    <row r="972" spans="1:10" x14ac:dyDescent="0.2">
      <c r="A972" s="2" t="s">
        <v>10</v>
      </c>
      <c r="B972" s="3" t="str">
        <f t="shared" si="22"/>
        <v>Email instauration Abilify Maintena 960 mg_FR-AM2-2400029</v>
      </c>
      <c r="C972" s="3" t="str">
        <f>HYPERLINK("https://otsuka-europe-crm.veevavault.com/ui/#object/sent_email__v/VBL000000018016", "SE-001402032")</f>
        <v>SE-001402032</v>
      </c>
      <c r="D972" s="4" t="s">
        <v>11</v>
      </c>
      <c r="E972" s="5">
        <v>0</v>
      </c>
      <c r="F972" s="5">
        <v>0</v>
      </c>
      <c r="G972" s="5">
        <v>0</v>
      </c>
      <c r="H972" s="4" t="s">
        <v>11</v>
      </c>
      <c r="I972" s="5">
        <v>0</v>
      </c>
      <c r="J972" s="4">
        <v>46050.380578703705</v>
      </c>
    </row>
    <row r="973" spans="1:10" x14ac:dyDescent="0.2">
      <c r="A973" s="2" t="s">
        <v>10</v>
      </c>
      <c r="B973" s="3" t="str">
        <f t="shared" si="22"/>
        <v>Email instauration Abilify Maintena 960 mg_FR-AM2-2400029</v>
      </c>
      <c r="C973" s="3" t="str">
        <f>HYPERLINK("https://otsuka-europe-crm.veevavault.com/ui/#object/sent_email__v/VBL000000017068", "SE-001402061")</f>
        <v>SE-001402061</v>
      </c>
      <c r="D973" s="4" t="s">
        <v>11</v>
      </c>
      <c r="E973" s="5">
        <v>0</v>
      </c>
      <c r="F973" s="5">
        <v>0</v>
      </c>
      <c r="G973" s="5">
        <v>0</v>
      </c>
      <c r="H973" s="4" t="s">
        <v>11</v>
      </c>
      <c r="I973" s="5">
        <v>0</v>
      </c>
      <c r="J973" s="4">
        <v>46050.41914351852</v>
      </c>
    </row>
    <row r="974" spans="1:10" x14ac:dyDescent="0.2">
      <c r="A974" s="2" t="s">
        <v>10</v>
      </c>
      <c r="B974" s="3" t="str">
        <f t="shared" si="22"/>
        <v>Email instauration Abilify Maintena 960 mg_FR-AM2-2400029</v>
      </c>
      <c r="C974" s="3" t="str">
        <f>HYPERLINK("https://otsuka-europe-crm.veevavault.com/ui/#object/sent_email__v/VBL000000017160", "SE-001402212")</f>
        <v>SE-001402212</v>
      </c>
      <c r="D974" s="4">
        <v>46052.824918981481</v>
      </c>
      <c r="E974" s="5">
        <v>1</v>
      </c>
      <c r="F974" s="5">
        <v>2</v>
      </c>
      <c r="G974" s="5">
        <v>0</v>
      </c>
      <c r="H974" s="4" t="s">
        <v>11</v>
      </c>
      <c r="I974" s="5">
        <v>0</v>
      </c>
      <c r="J974" s="4">
        <v>46051.628113425926</v>
      </c>
    </row>
    <row r="975" spans="1:10" x14ac:dyDescent="0.2">
      <c r="A975" s="2" t="s">
        <v>10</v>
      </c>
      <c r="B975" s="3" t="str">
        <f t="shared" si="22"/>
        <v>Email instauration Abilify Maintena 960 mg_FR-AM2-2400029</v>
      </c>
      <c r="C975" s="3" t="str">
        <f>HYPERLINK("https://otsuka-europe-crm.veevavault.com/ui/#object/sent_email__v/VBL000000017161", "SE-001402213")</f>
        <v>SE-001402213</v>
      </c>
      <c r="D975" s="4" t="s">
        <v>11</v>
      </c>
      <c r="E975" s="5">
        <v>0</v>
      </c>
      <c r="F975" s="5">
        <v>0</v>
      </c>
      <c r="G975" s="5">
        <v>0</v>
      </c>
      <c r="H975" s="4" t="s">
        <v>11</v>
      </c>
      <c r="I975" s="5">
        <v>0</v>
      </c>
      <c r="J975" s="4">
        <v>46051.628171296295</v>
      </c>
    </row>
    <row r="976" spans="1:10" x14ac:dyDescent="0.2">
      <c r="A976" s="2" t="s">
        <v>10</v>
      </c>
      <c r="B976" s="3" t="str">
        <f t="shared" si="22"/>
        <v>Email instauration Abilify Maintena 960 mg_FR-AM2-2400029</v>
      </c>
      <c r="C976" s="3" t="str">
        <f>HYPERLINK("https://otsuka-europe-crm.veevavault.com/ui/#object/sent_email__v/VBL000000018107", "SE-001402214")</f>
        <v>SE-001402214</v>
      </c>
      <c r="D976" s="4">
        <v>46052.764317129629</v>
      </c>
      <c r="E976" s="5">
        <v>1</v>
      </c>
      <c r="F976" s="5">
        <v>3</v>
      </c>
      <c r="G976" s="5">
        <v>0</v>
      </c>
      <c r="H976" s="4" t="s">
        <v>11</v>
      </c>
      <c r="I976" s="5">
        <v>0</v>
      </c>
      <c r="J976" s="4">
        <v>46051.628391203703</v>
      </c>
    </row>
    <row r="977" spans="1:10" x14ac:dyDescent="0.2">
      <c r="A977" s="2" t="s">
        <v>10</v>
      </c>
      <c r="B977" s="3" t="str">
        <f t="shared" si="22"/>
        <v>Email instauration Abilify Maintena 960 mg_FR-AM2-2400029</v>
      </c>
      <c r="C977" s="3" t="str">
        <f>HYPERLINK("https://otsuka-europe-crm.veevavault.com/ui/#object/sent_email__v/VBL000000018119", "SE-001402240")</f>
        <v>SE-001402240</v>
      </c>
      <c r="D977" s="4" t="s">
        <v>11</v>
      </c>
      <c r="E977" s="5">
        <v>0</v>
      </c>
      <c r="F977" s="5">
        <v>0</v>
      </c>
      <c r="G977" s="5">
        <v>0</v>
      </c>
      <c r="H977" s="4" t="s">
        <v>11</v>
      </c>
      <c r="I977" s="5">
        <v>0</v>
      </c>
      <c r="J977" s="4">
        <v>46051.679988425924</v>
      </c>
    </row>
    <row r="978" spans="1:10" x14ac:dyDescent="0.2">
      <c r="A978" s="2" t="s">
        <v>10</v>
      </c>
      <c r="B978" s="3" t="str">
        <f t="shared" si="22"/>
        <v>Email instauration Abilify Maintena 960 mg_FR-AM2-2400029</v>
      </c>
      <c r="C978" s="3" t="str">
        <f>HYPERLINK("https://otsuka-europe-crm.veevavault.com/ui/#object/sent_email__v/VBL000000019046", "SE-001402325")</f>
        <v>SE-001402325</v>
      </c>
      <c r="D978" s="4">
        <v>46060.412743055553</v>
      </c>
      <c r="E978" s="5">
        <v>1</v>
      </c>
      <c r="F978" s="5">
        <v>3</v>
      </c>
      <c r="G978" s="5">
        <v>0</v>
      </c>
      <c r="H978" s="4" t="s">
        <v>11</v>
      </c>
      <c r="I978" s="5">
        <v>0</v>
      </c>
      <c r="J978" s="4">
        <v>46055.358923611115</v>
      </c>
    </row>
    <row r="979" spans="1:10" x14ac:dyDescent="0.2">
      <c r="A979" s="2" t="s">
        <v>10</v>
      </c>
      <c r="B979" s="3" t="str">
        <f t="shared" si="22"/>
        <v>Email instauration Abilify Maintena 960 mg_FR-AM2-2400029</v>
      </c>
      <c r="C979" s="3" t="str">
        <f>HYPERLINK("https://otsuka-europe-crm.veevavault.com/ui/#object/sent_email__v/VBL000000019049", "SE-001402329")</f>
        <v>SE-001402329</v>
      </c>
      <c r="D979" s="4" t="s">
        <v>11</v>
      </c>
      <c r="E979" s="5">
        <v>0</v>
      </c>
      <c r="F979" s="5">
        <v>0</v>
      </c>
      <c r="G979" s="5">
        <v>0</v>
      </c>
      <c r="H979" s="4" t="s">
        <v>11</v>
      </c>
      <c r="I979" s="5">
        <v>0</v>
      </c>
      <c r="J979" s="4">
        <v>46055.358923611115</v>
      </c>
    </row>
    <row r="980" spans="1:10" x14ac:dyDescent="0.2">
      <c r="A980" s="2" t="s">
        <v>10</v>
      </c>
      <c r="B980" s="3" t="str">
        <f t="shared" si="22"/>
        <v>Email instauration Abilify Maintena 960 mg_FR-AM2-2400029</v>
      </c>
      <c r="C980" s="3" t="str">
        <f>HYPERLINK("https://otsuka-europe-crm.veevavault.com/ui/#object/sent_email__v/VBL000000019084", "SE-001402386")</f>
        <v>SE-001402386</v>
      </c>
      <c r="D980" s="4" t="s">
        <v>11</v>
      </c>
      <c r="E980" s="5">
        <v>0</v>
      </c>
      <c r="F980" s="5">
        <v>0</v>
      </c>
      <c r="G980" s="5">
        <v>0</v>
      </c>
      <c r="H980" s="4" t="s">
        <v>11</v>
      </c>
      <c r="I980" s="5">
        <v>0</v>
      </c>
      <c r="J980" s="4">
        <v>46055.666122685187</v>
      </c>
    </row>
    <row r="981" spans="1:10" x14ac:dyDescent="0.2">
      <c r="A981" s="2" t="s">
        <v>10</v>
      </c>
      <c r="B981" s="3" t="str">
        <f t="shared" si="22"/>
        <v>Email instauration Abilify Maintena 960 mg_FR-AM2-2400029</v>
      </c>
      <c r="C981" s="3" t="str">
        <f>HYPERLINK("https://otsuka-europe-crm.veevavault.com/ui/#object/sent_email__v/VBL000000019085", "SE-001402387")</f>
        <v>SE-001402387</v>
      </c>
      <c r="D981" s="4" t="s">
        <v>11</v>
      </c>
      <c r="E981" s="5">
        <v>0</v>
      </c>
      <c r="F981" s="5">
        <v>0</v>
      </c>
      <c r="G981" s="5">
        <v>0</v>
      </c>
      <c r="H981" s="4" t="s">
        <v>11</v>
      </c>
      <c r="I981" s="5">
        <v>0</v>
      </c>
      <c r="J981" s="4">
        <v>46055.666620370372</v>
      </c>
    </row>
    <row r="982" spans="1:10" x14ac:dyDescent="0.2">
      <c r="A982" s="2" t="s">
        <v>10</v>
      </c>
      <c r="B982" s="3" t="str">
        <f t="shared" si="22"/>
        <v>Email instauration Abilify Maintena 960 mg_FR-AM2-2400029</v>
      </c>
      <c r="C982" s="3" t="str">
        <f>HYPERLINK("https://otsuka-europe-crm.veevavault.com/ui/#object/sent_email__v/VBL00000001A064", "SE-001402390")</f>
        <v>SE-001402390</v>
      </c>
      <c r="D982" s="4">
        <v>46055.937488425923</v>
      </c>
      <c r="E982" s="5">
        <v>1</v>
      </c>
      <c r="F982" s="5">
        <v>1</v>
      </c>
      <c r="G982" s="5">
        <v>0</v>
      </c>
      <c r="H982" s="4" t="s">
        <v>11</v>
      </c>
      <c r="I982" s="5">
        <v>0</v>
      </c>
      <c r="J982" s="4">
        <v>46055.693541666667</v>
      </c>
    </row>
    <row r="983" spans="1:10" x14ac:dyDescent="0.2">
      <c r="A983" s="2" t="s">
        <v>10</v>
      </c>
      <c r="B983" s="3" t="str">
        <f t="shared" si="22"/>
        <v>Email instauration Abilify Maintena 960 mg_FR-AM2-2400029</v>
      </c>
      <c r="C983" s="3" t="str">
        <f>HYPERLINK("https://otsuka-europe-crm.veevavault.com/ui/#object/sent_email__v/VBL000000019088", "SE-001402391")</f>
        <v>SE-001402391</v>
      </c>
      <c r="D983" s="4" t="s">
        <v>11</v>
      </c>
      <c r="E983" s="5">
        <v>0</v>
      </c>
      <c r="F983" s="5">
        <v>0</v>
      </c>
      <c r="G983" s="5">
        <v>0</v>
      </c>
      <c r="H983" s="4" t="s">
        <v>11</v>
      </c>
      <c r="I983" s="5">
        <v>0</v>
      </c>
      <c r="J983" s="4">
        <v>46055.695520833331</v>
      </c>
    </row>
    <row r="984" spans="1:10" x14ac:dyDescent="0.2">
      <c r="A984" s="2" t="s">
        <v>10</v>
      </c>
      <c r="B984" s="3" t="str">
        <f t="shared" si="22"/>
        <v>Email instauration Abilify Maintena 960 mg_FR-AM2-2400029</v>
      </c>
      <c r="C984" s="3" t="str">
        <f>HYPERLINK("https://otsuka-europe-crm.veevavault.com/ui/#object/sent_email__v/VBL00000001C003", "SE-001402941")</f>
        <v>SE-001402941</v>
      </c>
      <c r="D984" s="4" t="s">
        <v>11</v>
      </c>
      <c r="E984" s="5">
        <v>0</v>
      </c>
      <c r="F984" s="5">
        <v>0</v>
      </c>
      <c r="G984" s="5">
        <v>0</v>
      </c>
      <c r="H984" s="4" t="s">
        <v>11</v>
      </c>
      <c r="I984" s="5">
        <v>0</v>
      </c>
      <c r="J984" s="4">
        <v>46059.358865740738</v>
      </c>
    </row>
    <row r="985" spans="1:10" x14ac:dyDescent="0.2">
      <c r="A985" s="2" t="s">
        <v>10</v>
      </c>
      <c r="B985" s="3" t="str">
        <f t="shared" si="22"/>
        <v>Email instauration Abilify Maintena 960 mg_FR-AM2-2400029</v>
      </c>
      <c r="C985" s="3" t="str">
        <f>HYPERLINK("https://otsuka-europe-crm.veevavault.com/ui/#object/sent_email__v/VBL00000001C050", "SE-001403034")</f>
        <v>SE-001403034</v>
      </c>
      <c r="D985" s="4" t="s">
        <v>11</v>
      </c>
      <c r="E985" s="5">
        <v>0</v>
      </c>
      <c r="F985" s="5">
        <v>0</v>
      </c>
      <c r="G985" s="5">
        <v>0</v>
      </c>
      <c r="H985" s="4" t="s">
        <v>11</v>
      </c>
      <c r="I985" s="5">
        <v>0</v>
      </c>
      <c r="J985" s="4">
        <v>46059.427199074074</v>
      </c>
    </row>
    <row r="986" spans="1:10" x14ac:dyDescent="0.2">
      <c r="A986" s="2" t="s">
        <v>10</v>
      </c>
      <c r="B986" s="3" t="str">
        <f t="shared" si="22"/>
        <v>Email instauration Abilify Maintena 960 mg_FR-AM2-2400029</v>
      </c>
      <c r="C986" s="3" t="str">
        <f>HYPERLINK("https://otsuka-europe-crm.veevavault.com/ui/#object/sent_email__v/VBL00000001C374", "SE-001403691")</f>
        <v>SE-001403691</v>
      </c>
      <c r="D986" s="4">
        <v>46065.644444444442</v>
      </c>
      <c r="E986" s="5">
        <v>1</v>
      </c>
      <c r="F986" s="5">
        <v>4</v>
      </c>
      <c r="G986" s="5">
        <v>0</v>
      </c>
      <c r="H986" s="4" t="s">
        <v>11</v>
      </c>
      <c r="I986" s="5">
        <v>0</v>
      </c>
      <c r="J986" s="4">
        <v>46064.396307870367</v>
      </c>
    </row>
    <row r="987" spans="1:10" x14ac:dyDescent="0.2">
      <c r="A987" s="2" t="s">
        <v>10</v>
      </c>
      <c r="B987" s="3" t="str">
        <f t="shared" si="22"/>
        <v>Email instauration Abilify Maintena 960 mg_FR-AM2-2400029</v>
      </c>
      <c r="C987" s="3" t="str">
        <f>HYPERLINK("https://otsuka-europe-crm.veevavault.com/ui/#object/sent_email__v/VBL00000001B435", "SE-001403710")</f>
        <v>SE-001403710</v>
      </c>
      <c r="D987" s="4">
        <v>46064.517372685186</v>
      </c>
      <c r="E987" s="5">
        <v>1</v>
      </c>
      <c r="F987" s="5">
        <v>2</v>
      </c>
      <c r="G987" s="5">
        <v>0</v>
      </c>
      <c r="H987" s="4" t="s">
        <v>11</v>
      </c>
      <c r="I987" s="5">
        <v>0</v>
      </c>
      <c r="J987" s="4">
        <v>46064.456365740742</v>
      </c>
    </row>
    <row r="988" spans="1:10" x14ac:dyDescent="0.2">
      <c r="A988" s="2" t="s">
        <v>10</v>
      </c>
      <c r="B988" s="3" t="str">
        <f t="shared" si="22"/>
        <v>Email instauration Abilify Maintena 960 mg_FR-AM2-2400029</v>
      </c>
      <c r="C988" s="3" t="str">
        <f>HYPERLINK("https://otsuka-europe-crm.veevavault.com/ui/#object/sent_email__v/VBL00000001C383", "SE-001403711")</f>
        <v>SE-001403711</v>
      </c>
      <c r="D988" s="4" t="s">
        <v>11</v>
      </c>
      <c r="E988" s="5">
        <v>0</v>
      </c>
      <c r="F988" s="5">
        <v>0</v>
      </c>
      <c r="G988" s="5">
        <v>0</v>
      </c>
      <c r="H988" s="4" t="s">
        <v>11</v>
      </c>
      <c r="I988" s="5">
        <v>0</v>
      </c>
      <c r="J988" s="4">
        <v>46064.458518518521</v>
      </c>
    </row>
    <row r="989" spans="1:10" x14ac:dyDescent="0.2">
      <c r="A989" s="2" t="s">
        <v>10</v>
      </c>
      <c r="B989" s="3" t="str">
        <f t="shared" si="22"/>
        <v>Email instauration Abilify Maintena 960 mg_FR-AM2-2400029</v>
      </c>
      <c r="C989" s="3" t="str">
        <f>HYPERLINK("https://otsuka-europe-crm.veevavault.com/ui/#object/sent_email__v/VBL00000001C385", "SE-001403713")</f>
        <v>SE-001403713</v>
      </c>
      <c r="D989" s="4" t="s">
        <v>11</v>
      </c>
      <c r="E989" s="5">
        <v>0</v>
      </c>
      <c r="F989" s="5">
        <v>0</v>
      </c>
      <c r="G989" s="5">
        <v>0</v>
      </c>
      <c r="H989" s="4" t="s">
        <v>11</v>
      </c>
      <c r="I989" s="5">
        <v>0</v>
      </c>
      <c r="J989" s="4">
        <v>46064.468356481484</v>
      </c>
    </row>
    <row r="990" spans="1:10" x14ac:dyDescent="0.2">
      <c r="A990" s="2" t="s">
        <v>10</v>
      </c>
      <c r="B990" s="3" t="str">
        <f t="shared" si="22"/>
        <v>Email instauration Abilify Maintena 960 mg_FR-AM2-2400029</v>
      </c>
      <c r="C990" s="3" t="str">
        <f>HYPERLINK("https://otsuka-europe-crm.veevavault.com/ui/#object/sent_email__v/VBL00000001C386", "SE-001403714")</f>
        <v>SE-001403714</v>
      </c>
      <c r="D990" s="4" t="s">
        <v>11</v>
      </c>
      <c r="E990" s="5">
        <v>0</v>
      </c>
      <c r="F990" s="5">
        <v>0</v>
      </c>
      <c r="G990" s="5">
        <v>0</v>
      </c>
      <c r="H990" s="4" t="s">
        <v>11</v>
      </c>
      <c r="I990" s="5">
        <v>0</v>
      </c>
      <c r="J990" s="4">
        <v>46064.470590277779</v>
      </c>
    </row>
    <row r="991" spans="1:10" x14ac:dyDescent="0.2">
      <c r="A991" s="2" t="s">
        <v>10</v>
      </c>
      <c r="B991" s="3" t="str">
        <f t="shared" si="22"/>
        <v>Email instauration Abilify Maintena 960 mg_FR-AM2-2400029</v>
      </c>
      <c r="C991" s="3" t="str">
        <f>HYPERLINK("https://otsuka-europe-crm.veevavault.com/ui/#object/sent_email__v/VBL00000001B447", "SE-001403743")</f>
        <v>SE-001403743</v>
      </c>
      <c r="D991" s="4" t="s">
        <v>11</v>
      </c>
      <c r="E991" s="5">
        <v>0</v>
      </c>
      <c r="F991" s="5">
        <v>0</v>
      </c>
      <c r="G991" s="5">
        <v>0</v>
      </c>
      <c r="H991" s="4" t="s">
        <v>11</v>
      </c>
      <c r="I991" s="5">
        <v>0</v>
      </c>
      <c r="J991" s="4">
        <v>46064.476875</v>
      </c>
    </row>
    <row r="992" spans="1:10" x14ac:dyDescent="0.2">
      <c r="A992" s="2" t="s">
        <v>10</v>
      </c>
      <c r="B992" s="3" t="str">
        <f t="shared" si="22"/>
        <v>Email instauration Abilify Maintena 960 mg_FR-AM2-2400029</v>
      </c>
      <c r="C992" s="3" t="str">
        <f>HYPERLINK("https://otsuka-europe-crm.veevavault.com/ui/#object/sent_email__v/VBL00000001C438", "SE-001403801")</f>
        <v>SE-001403801</v>
      </c>
      <c r="D992" s="4" t="s">
        <v>11</v>
      </c>
      <c r="E992" s="5">
        <v>0</v>
      </c>
      <c r="F992" s="5">
        <v>0</v>
      </c>
      <c r="G992" s="5">
        <v>0</v>
      </c>
      <c r="H992" s="4" t="s">
        <v>11</v>
      </c>
      <c r="I992" s="5">
        <v>0</v>
      </c>
      <c r="J992" s="4">
        <v>46064.714270833334</v>
      </c>
    </row>
    <row r="993" spans="1:10" x14ac:dyDescent="0.2">
      <c r="A993" s="2" t="s">
        <v>10</v>
      </c>
      <c r="B993" s="3" t="str">
        <f t="shared" si="22"/>
        <v>Email instauration Abilify Maintena 960 mg_FR-AM2-2400029</v>
      </c>
      <c r="C993" s="3" t="str">
        <f>HYPERLINK("https://otsuka-europe-crm.veevavault.com/ui/#object/sent_email__v/VBL00000001C483", "SE-001403912")</f>
        <v>SE-001403912</v>
      </c>
      <c r="D993" s="4">
        <v>46066.003344907411</v>
      </c>
      <c r="E993" s="5">
        <v>1</v>
      </c>
      <c r="F993" s="5">
        <v>4</v>
      </c>
      <c r="G993" s="5">
        <v>0</v>
      </c>
      <c r="H993" s="4" t="s">
        <v>11</v>
      </c>
      <c r="I993" s="5">
        <v>0</v>
      </c>
      <c r="J993" s="4">
        <v>46065.458495370367</v>
      </c>
    </row>
    <row r="994" spans="1:10" x14ac:dyDescent="0.2">
      <c r="A994" s="2" t="s">
        <v>10</v>
      </c>
      <c r="B994" s="3" t="str">
        <f t="shared" si="22"/>
        <v>Email instauration Abilify Maintena 960 mg_FR-AM2-2400029</v>
      </c>
      <c r="C994" s="3" t="str">
        <f>HYPERLINK("https://otsuka-europe-crm.veevavault.com/ui/#object/sent_email__v/VBL00000001B556", "SE-001403923")</f>
        <v>SE-001403923</v>
      </c>
      <c r="D994" s="4">
        <v>46065.485173611109</v>
      </c>
      <c r="E994" s="5">
        <v>1</v>
      </c>
      <c r="F994" s="5">
        <v>1</v>
      </c>
      <c r="G994" s="5">
        <v>0</v>
      </c>
      <c r="H994" s="4" t="s">
        <v>11</v>
      </c>
      <c r="I994" s="5">
        <v>0</v>
      </c>
      <c r="J994" s="4">
        <v>46065.485081018516</v>
      </c>
    </row>
    <row r="995" spans="1:10" x14ac:dyDescent="0.2">
      <c r="A995" s="2" t="s">
        <v>10</v>
      </c>
      <c r="B995" s="3" t="str">
        <f t="shared" si="22"/>
        <v>Email instauration Abilify Maintena 960 mg_FR-AM2-2400029</v>
      </c>
      <c r="C995" s="3" t="str">
        <f>HYPERLINK("https://otsuka-europe-crm.veevavault.com/ui/#object/sent_email__v/VBL00000001C490", "SE-001403924")</f>
        <v>SE-001403924</v>
      </c>
      <c r="D995" s="4">
        <v>46065.493807870371</v>
      </c>
      <c r="E995" s="5">
        <v>1</v>
      </c>
      <c r="F995" s="5">
        <v>1</v>
      </c>
      <c r="G995" s="5">
        <v>0</v>
      </c>
      <c r="H995" s="4" t="s">
        <v>11</v>
      </c>
      <c r="I995" s="5">
        <v>0</v>
      </c>
      <c r="J995" s="4">
        <v>46065.485393518517</v>
      </c>
    </row>
    <row r="996" spans="1:10" x14ac:dyDescent="0.2">
      <c r="A996" s="2" t="s">
        <v>10</v>
      </c>
      <c r="B996" s="3" t="str">
        <f t="shared" si="22"/>
        <v>Email instauration Abilify Maintena 960 mg_FR-AM2-2400029</v>
      </c>
      <c r="C996" s="3" t="str">
        <f>HYPERLINK("https://otsuka-europe-crm.veevavault.com/ui/#object/sent_email__v/VBL00000001B584", "SE-001403965")</f>
        <v>SE-001403965</v>
      </c>
      <c r="D996" s="4" t="s">
        <v>11</v>
      </c>
      <c r="E996" s="5">
        <v>0</v>
      </c>
      <c r="F996" s="5">
        <v>0</v>
      </c>
      <c r="G996" s="5">
        <v>0</v>
      </c>
      <c r="H996" s="4" t="s">
        <v>11</v>
      </c>
      <c r="I996" s="5">
        <v>0</v>
      </c>
      <c r="J996" s="4">
        <v>46065.670300925929</v>
      </c>
    </row>
    <row r="997" spans="1:10" x14ac:dyDescent="0.2">
      <c r="A997" s="2" t="s">
        <v>10</v>
      </c>
      <c r="B997" s="3" t="str">
        <f t="shared" si="22"/>
        <v>Email instauration Abilify Maintena 960 mg_FR-AM2-2400029</v>
      </c>
      <c r="C997" s="3" t="str">
        <f>HYPERLINK("https://otsuka-europe-crm.veevavault.com/ui/#object/sent_email__v/VBL00000001B586", "SE-001403968")</f>
        <v>SE-001403968</v>
      </c>
      <c r="D997" s="4" t="s">
        <v>11</v>
      </c>
      <c r="E997" s="5">
        <v>0</v>
      </c>
      <c r="F997" s="5">
        <v>0</v>
      </c>
      <c r="G997" s="5">
        <v>0</v>
      </c>
      <c r="H997" s="4" t="s">
        <v>11</v>
      </c>
      <c r="I997" s="5">
        <v>0</v>
      </c>
      <c r="J997" s="4">
        <v>46065.726377314815</v>
      </c>
    </row>
    <row r="998" spans="1:10" x14ac:dyDescent="0.2">
      <c r="A998" s="2" t="s">
        <v>10</v>
      </c>
      <c r="B998" s="3" t="str">
        <f t="shared" si="22"/>
        <v>Email instauration Abilify Maintena 960 mg_FR-AM2-2400029</v>
      </c>
      <c r="C998" s="3" t="str">
        <f>HYPERLINK("https://otsuka-europe-crm.veevavault.com/ui/#object/sent_email__v/VBL00000001B587", "SE-001403969")</f>
        <v>SE-001403969</v>
      </c>
      <c r="D998" s="4" t="s">
        <v>11</v>
      </c>
      <c r="E998" s="5">
        <v>0</v>
      </c>
      <c r="F998" s="5">
        <v>0</v>
      </c>
      <c r="G998" s="5">
        <v>0</v>
      </c>
      <c r="H998" s="4" t="s">
        <v>11</v>
      </c>
      <c r="I998" s="5">
        <v>0</v>
      </c>
      <c r="J998" s="4">
        <v>46065.726817129631</v>
      </c>
    </row>
    <row r="999" spans="1:10" x14ac:dyDescent="0.2">
      <c r="A999" s="2" t="s">
        <v>10</v>
      </c>
      <c r="B999" s="3" t="str">
        <f t="shared" si="22"/>
        <v>Email instauration Abilify Maintena 960 mg_FR-AM2-2400029</v>
      </c>
      <c r="C999" s="3" t="str">
        <f>HYPERLINK("https://otsuka-europe-crm.veevavault.com/ui/#object/sent_email__v/VBL00000001E322", "SE-001404455")</f>
        <v>SE-001404455</v>
      </c>
      <c r="D999" s="4">
        <v>46071.819768518515</v>
      </c>
      <c r="E999" s="5">
        <v>1</v>
      </c>
      <c r="F999" s="5">
        <v>1</v>
      </c>
      <c r="G999" s="5">
        <v>0</v>
      </c>
      <c r="H999" s="4" t="s">
        <v>11</v>
      </c>
      <c r="I999" s="5">
        <v>0</v>
      </c>
      <c r="J999" s="4">
        <v>46070.699016203704</v>
      </c>
    </row>
    <row r="1000" spans="1:10" x14ac:dyDescent="0.2">
      <c r="A1000" s="2" t="s">
        <v>10</v>
      </c>
      <c r="B1000" s="3" t="str">
        <f t="shared" si="22"/>
        <v>Email instauration Abilify Maintena 960 mg_FR-AM2-2400029</v>
      </c>
      <c r="C1000" s="3" t="str">
        <f>HYPERLINK("https://otsuka-europe-crm.veevavault.com/ui/#object/sent_email__v/VBL00000001E504", "SE-001405128")</f>
        <v>SE-001405128</v>
      </c>
      <c r="D1000" s="4" t="s">
        <v>11</v>
      </c>
      <c r="E1000" s="5">
        <v>0</v>
      </c>
      <c r="F1000" s="5">
        <v>0</v>
      </c>
      <c r="G1000" s="5">
        <v>0</v>
      </c>
      <c r="H1000" s="4" t="s">
        <v>11</v>
      </c>
      <c r="I1000" s="5">
        <v>0</v>
      </c>
      <c r="J1000" s="4">
        <v>46072.652569444443</v>
      </c>
    </row>
    <row r="1001" spans="1:10" x14ac:dyDescent="0.2">
      <c r="A1001" s="2" t="s">
        <v>10</v>
      </c>
      <c r="B1001" s="3" t="str">
        <f t="shared" si="22"/>
        <v>Email instauration Abilify Maintena 960 mg_FR-AM2-2400029</v>
      </c>
      <c r="C1001" s="3" t="str">
        <f>HYPERLINK("https://otsuka-europe-crm.veevavault.com/ui/#object/sent_email__v/VBL00000001G021", "SE-001405186")</f>
        <v>SE-001405186</v>
      </c>
      <c r="D1001" s="4">
        <v>46073.348298611112</v>
      </c>
      <c r="E1001" s="5">
        <v>1</v>
      </c>
      <c r="F1001" s="5">
        <v>1</v>
      </c>
      <c r="G1001" s="5">
        <v>0</v>
      </c>
      <c r="H1001" s="4" t="s">
        <v>11</v>
      </c>
      <c r="I1001" s="5">
        <v>0</v>
      </c>
      <c r="J1001" s="4">
        <v>46073.34746527778</v>
      </c>
    </row>
    <row r="1002" spans="1:10" x14ac:dyDescent="0.2">
      <c r="A1002" s="2" t="s">
        <v>10</v>
      </c>
      <c r="B1002" s="3" t="str">
        <f t="shared" si="22"/>
        <v>Email instauration Abilify Maintena 960 mg_FR-AM2-2400029</v>
      </c>
      <c r="C1002" s="3" t="str">
        <f>HYPERLINK("https://otsuka-europe-crm.veevavault.com/ui/#object/sent_email__v/VBL00000001F102", "SE-001405548")</f>
        <v>SE-001405548</v>
      </c>
      <c r="D1002" s="4">
        <v>46076.390277777777</v>
      </c>
      <c r="E1002" s="5">
        <v>1</v>
      </c>
      <c r="F1002" s="5">
        <v>1</v>
      </c>
      <c r="G1002" s="5">
        <v>0</v>
      </c>
      <c r="H1002" s="4" t="s">
        <v>11</v>
      </c>
      <c r="I1002" s="5">
        <v>0</v>
      </c>
      <c r="J1002" s="4">
        <v>46076.385833333334</v>
      </c>
    </row>
    <row r="1003" spans="1:10" x14ac:dyDescent="0.2">
      <c r="A1003" s="2" t="s">
        <v>10</v>
      </c>
      <c r="B1003" s="3" t="str">
        <f t="shared" si="22"/>
        <v>Email instauration Abilify Maintena 960 mg_FR-AM2-2400029</v>
      </c>
      <c r="C1003" s="3" t="str">
        <f>HYPERLINK("https://otsuka-europe-crm.veevavault.com/ui/#object/sent_email__v/VBL00000001F283", "SE-001405903")</f>
        <v>SE-001405903</v>
      </c>
      <c r="D1003" s="4">
        <v>46078.373680555553</v>
      </c>
      <c r="E1003" s="5">
        <v>1</v>
      </c>
      <c r="F1003" s="5">
        <v>11</v>
      </c>
      <c r="G1003" s="5">
        <v>0</v>
      </c>
      <c r="H1003" s="4" t="s">
        <v>11</v>
      </c>
      <c r="I1003" s="5">
        <v>0</v>
      </c>
      <c r="J1003" s="4">
        <v>46076.710520833331</v>
      </c>
    </row>
    <row r="1004" spans="1:10" x14ac:dyDescent="0.2">
      <c r="A1004" s="2" t="s">
        <v>10</v>
      </c>
      <c r="B1004" s="3" t="str">
        <f t="shared" si="22"/>
        <v>Email instauration Abilify Maintena 960 mg_FR-AM2-2400029</v>
      </c>
      <c r="C1004" s="3" t="str">
        <f>HYPERLINK("https://otsuka-europe-crm.veevavault.com/ui/#object/sent_email__v/VBL00000001F317", "SE-001405984")</f>
        <v>SE-001405984</v>
      </c>
      <c r="D1004" s="4">
        <v>46077.54074074074</v>
      </c>
      <c r="E1004" s="5">
        <v>1</v>
      </c>
      <c r="F1004" s="5">
        <v>1</v>
      </c>
      <c r="G1004" s="5">
        <v>0</v>
      </c>
      <c r="H1004" s="4" t="s">
        <v>11</v>
      </c>
      <c r="I1004" s="5">
        <v>0</v>
      </c>
      <c r="J1004" s="4">
        <v>46077.465682870374</v>
      </c>
    </row>
    <row r="1005" spans="1:10" x14ac:dyDescent="0.2">
      <c r="A1005" s="2" t="s">
        <v>10</v>
      </c>
      <c r="B1005" s="3" t="str">
        <f t="shared" si="22"/>
        <v>Email instauration Abilify Maintena 960 mg_FR-AM2-2400029</v>
      </c>
      <c r="C1005" s="3" t="str">
        <f>HYPERLINK("https://otsuka-europe-crm.veevavault.com/ui/#object/sent_email__v/VBL00000001G770", "SE-001406428")</f>
        <v>SE-001406428</v>
      </c>
      <c r="D1005" s="4" t="s">
        <v>11</v>
      </c>
      <c r="E1005" s="5">
        <v>0</v>
      </c>
      <c r="F1005" s="5">
        <v>0</v>
      </c>
      <c r="G1005" s="5">
        <v>0</v>
      </c>
      <c r="H1005" s="4" t="s">
        <v>11</v>
      </c>
      <c r="I1005" s="5">
        <v>0</v>
      </c>
      <c r="J1005" s="4">
        <v>46078.375868055555</v>
      </c>
    </row>
    <row r="1006" spans="1:10" x14ac:dyDescent="0.2">
      <c r="A1006" s="2" t="s">
        <v>10</v>
      </c>
      <c r="B1006" s="3" t="str">
        <f t="shared" si="22"/>
        <v>Email instauration Abilify Maintena 960 mg_FR-AM2-2400029</v>
      </c>
      <c r="C1006" s="3" t="str">
        <f>HYPERLINK("https://otsuka-europe-crm.veevavault.com/ui/#object/sent_email__v/VBL00000001G854", "SE-001406555")</f>
        <v>SE-001406555</v>
      </c>
      <c r="D1006" s="4" t="s">
        <v>11</v>
      </c>
      <c r="E1006" s="5">
        <v>0</v>
      </c>
      <c r="F1006" s="5">
        <v>0</v>
      </c>
      <c r="G1006" s="5">
        <v>0</v>
      </c>
      <c r="H1006" s="4" t="s">
        <v>11</v>
      </c>
      <c r="I1006" s="5">
        <v>0</v>
      </c>
      <c r="J1006" s="4">
        <v>46078.557939814818</v>
      </c>
    </row>
    <row r="1007" spans="1:10" x14ac:dyDescent="0.2">
      <c r="A1007" s="2" t="s">
        <v>10</v>
      </c>
      <c r="B1007" s="3" t="str">
        <f t="shared" ref="B1007:B1070" si="23">HYPERLINK("https://otsuka-europe-crm.veevavault.com/ui/#object/approved_document__v/V5OZ025E82OV85X", "Emailing Abilify 960 mg fragments
FR-AM2-2400044")</f>
        <v>Emailing Abilify 960 mg fragments
FR-AM2-2400044</v>
      </c>
      <c r="C1007" s="3" t="str">
        <f>HYPERLINK("https://otsuka-europe-crm.veevavault.com/ui/#object/sent_email__v/VBLZ025E82GBRN9", "SE-000254915")</f>
        <v>SE-000254915</v>
      </c>
      <c r="D1007" s="4">
        <v>45933.440196759257</v>
      </c>
      <c r="E1007" s="5">
        <v>1</v>
      </c>
      <c r="F1007" s="5">
        <v>46</v>
      </c>
      <c r="G1007" s="5">
        <v>1</v>
      </c>
      <c r="H1007" s="4">
        <v>45925.373032407406</v>
      </c>
      <c r="I1007" s="5">
        <v>1</v>
      </c>
      <c r="J1007" s="4">
        <v>45901.476180555554</v>
      </c>
    </row>
    <row r="1008" spans="1:10" x14ac:dyDescent="0.2">
      <c r="A1008" s="2" t="s">
        <v>10</v>
      </c>
      <c r="B1008" s="3" t="str">
        <f t="shared" si="23"/>
        <v>Emailing Abilify 960 mg fragments
FR-AM2-2400044</v>
      </c>
      <c r="C1008" s="3" t="str">
        <f>HYPERLINK("https://otsuka-europe-crm.veevavault.com/ui/#object/sent_email__v/VBLZ025E82GD165", "SE-000255119")</f>
        <v>SE-000255119</v>
      </c>
      <c r="D1008" s="4" t="s">
        <v>11</v>
      </c>
      <c r="E1008" s="5">
        <v>0</v>
      </c>
      <c r="F1008" s="5">
        <v>0</v>
      </c>
      <c r="G1008" s="5">
        <v>0</v>
      </c>
      <c r="H1008" s="4" t="s">
        <v>11</v>
      </c>
      <c r="I1008" s="5">
        <v>0</v>
      </c>
      <c r="J1008" s="4">
        <v>45902.52679398148</v>
      </c>
    </row>
    <row r="1009" spans="1:10" x14ac:dyDescent="0.2">
      <c r="A1009" s="2" t="s">
        <v>10</v>
      </c>
      <c r="B1009" s="3" t="str">
        <f t="shared" si="23"/>
        <v>Emailing Abilify 960 mg fragments
FR-AM2-2400044</v>
      </c>
      <c r="C1009" s="3" t="str">
        <f>HYPERLINK("https://otsuka-europe-crm.veevavault.com/ui/#object/sent_email__v/VBLZ025E82GD1PL", "SE-000255120")</f>
        <v>SE-000255120</v>
      </c>
      <c r="D1009" s="4">
        <v>45902.56212962963</v>
      </c>
      <c r="E1009" s="5">
        <v>1</v>
      </c>
      <c r="F1009" s="5">
        <v>2</v>
      </c>
      <c r="G1009" s="5">
        <v>0</v>
      </c>
      <c r="H1009" s="4" t="s">
        <v>11</v>
      </c>
      <c r="I1009" s="5">
        <v>0</v>
      </c>
      <c r="J1009" s="4">
        <v>45902.544965277775</v>
      </c>
    </row>
    <row r="1010" spans="1:10" x14ac:dyDescent="0.2">
      <c r="A1010" s="2" t="s">
        <v>10</v>
      </c>
      <c r="B1010" s="3" t="str">
        <f t="shared" si="23"/>
        <v>Emailing Abilify 960 mg fragments
FR-AM2-2400044</v>
      </c>
      <c r="C1010" s="3" t="str">
        <f>HYPERLINK("https://otsuka-europe-crm.veevavault.com/ui/#object/sent_email__v/VBLZ025E82GD4KD", "SE-000255123")</f>
        <v>SE-000255123</v>
      </c>
      <c r="D1010" s="4">
        <v>45902.748043981483</v>
      </c>
      <c r="E1010" s="5">
        <v>1</v>
      </c>
      <c r="F1010" s="5">
        <v>1</v>
      </c>
      <c r="G1010" s="5">
        <v>0</v>
      </c>
      <c r="H1010" s="4" t="s">
        <v>11</v>
      </c>
      <c r="I1010" s="5">
        <v>0</v>
      </c>
      <c r="J1010" s="4">
        <v>45902.574780092589</v>
      </c>
    </row>
    <row r="1011" spans="1:10" x14ac:dyDescent="0.2">
      <c r="A1011" s="2" t="s">
        <v>10</v>
      </c>
      <c r="B1011" s="3" t="str">
        <f t="shared" si="23"/>
        <v>Emailing Abilify 960 mg fragments
FR-AM2-2400044</v>
      </c>
      <c r="C1011" s="3" t="str">
        <f>HYPERLINK("https://otsuka-europe-crm.veevavault.com/ui/#object/sent_email__v/VBLZ025E82GDED5", "SE-000255140")</f>
        <v>SE-000255140</v>
      </c>
      <c r="D1011" s="4" t="s">
        <v>11</v>
      </c>
      <c r="E1011" s="5">
        <v>0</v>
      </c>
      <c r="F1011" s="5">
        <v>0</v>
      </c>
      <c r="G1011" s="5">
        <v>0</v>
      </c>
      <c r="H1011" s="4" t="s">
        <v>11</v>
      </c>
      <c r="I1011" s="5">
        <v>0</v>
      </c>
      <c r="J1011" s="4">
        <v>45902.670555555553</v>
      </c>
    </row>
    <row r="1012" spans="1:10" x14ac:dyDescent="0.2">
      <c r="A1012" s="2" t="s">
        <v>10</v>
      </c>
      <c r="B1012" s="3" t="str">
        <f t="shared" si="23"/>
        <v>Emailing Abilify 960 mg fragments
FR-AM2-2400044</v>
      </c>
      <c r="C1012" s="3" t="str">
        <f>HYPERLINK("https://otsuka-europe-crm.veevavault.com/ui/#object/sent_email__v/VBLZ025E82GDGG5", "SE-000255143")</f>
        <v>SE-000255143</v>
      </c>
      <c r="D1012" s="4" t="s">
        <v>11</v>
      </c>
      <c r="E1012" s="5">
        <v>0</v>
      </c>
      <c r="F1012" s="5">
        <v>0</v>
      </c>
      <c r="G1012" s="5">
        <v>0</v>
      </c>
      <c r="H1012" s="4" t="s">
        <v>11</v>
      </c>
      <c r="I1012" s="5">
        <v>0</v>
      </c>
      <c r="J1012" s="4">
        <v>45902.692858796298</v>
      </c>
    </row>
    <row r="1013" spans="1:10" x14ac:dyDescent="0.2">
      <c r="A1013" s="2" t="s">
        <v>10</v>
      </c>
      <c r="B1013" s="3" t="str">
        <f t="shared" si="23"/>
        <v>Emailing Abilify 960 mg fragments
FR-AM2-2400044</v>
      </c>
      <c r="C1013" s="3" t="str">
        <f>HYPERLINK("https://otsuka-europe-crm.veevavault.com/ui/#object/sent_email__v/VBLZ025E82GEMI1", "SE-000255224")</f>
        <v>SE-000255224</v>
      </c>
      <c r="D1013" s="4" t="s">
        <v>11</v>
      </c>
      <c r="E1013" s="5">
        <v>0</v>
      </c>
      <c r="F1013" s="5">
        <v>0</v>
      </c>
      <c r="G1013" s="5">
        <v>0</v>
      </c>
      <c r="H1013" s="4" t="s">
        <v>11</v>
      </c>
      <c r="I1013" s="5">
        <v>0</v>
      </c>
      <c r="J1013" s="4">
        <v>45903.713842592595</v>
      </c>
    </row>
    <row r="1014" spans="1:10" x14ac:dyDescent="0.2">
      <c r="A1014" s="2" t="s">
        <v>10</v>
      </c>
      <c r="B1014" s="3" t="str">
        <f t="shared" si="23"/>
        <v>Emailing Abilify 960 mg fragments
FR-AM2-2400044</v>
      </c>
      <c r="C1014" s="3" t="str">
        <f>HYPERLINK("https://otsuka-europe-crm.veevavault.com/ui/#object/sent_email__v/VBLZ025E82GESD5", "SE-000255236")</f>
        <v>SE-000255236</v>
      </c>
      <c r="D1014" s="4" t="s">
        <v>11</v>
      </c>
      <c r="E1014" s="5">
        <v>0</v>
      </c>
      <c r="F1014" s="5">
        <v>0</v>
      </c>
      <c r="G1014" s="5">
        <v>0</v>
      </c>
      <c r="H1014" s="4" t="s">
        <v>11</v>
      </c>
      <c r="I1014" s="5">
        <v>0</v>
      </c>
      <c r="J1014" s="4">
        <v>45904.325254629628</v>
      </c>
    </row>
    <row r="1015" spans="1:10" x14ac:dyDescent="0.2">
      <c r="A1015" s="2" t="s">
        <v>10</v>
      </c>
      <c r="B1015" s="3" t="str">
        <f t="shared" si="23"/>
        <v>Emailing Abilify 960 mg fragments
FR-AM2-2400044</v>
      </c>
      <c r="C1015" s="3" t="str">
        <f>HYPERLINK("https://otsuka-europe-crm.veevavault.com/ui/#object/sent_email__v/VBLZ025E82GESFX", "SE-000255237")</f>
        <v>SE-000255237</v>
      </c>
      <c r="D1015" s="4" t="s">
        <v>11</v>
      </c>
      <c r="E1015" s="5">
        <v>0</v>
      </c>
      <c r="F1015" s="5">
        <v>0</v>
      </c>
      <c r="G1015" s="5">
        <v>0</v>
      </c>
      <c r="H1015" s="4" t="s">
        <v>11</v>
      </c>
      <c r="I1015" s="5">
        <v>0</v>
      </c>
      <c r="J1015" s="4">
        <v>45904.326423611114</v>
      </c>
    </row>
    <row r="1016" spans="1:10" x14ac:dyDescent="0.2">
      <c r="A1016" s="2" t="s">
        <v>10</v>
      </c>
      <c r="B1016" s="3" t="str">
        <f t="shared" si="23"/>
        <v>Emailing Abilify 960 mg fragments
FR-AM2-2400044</v>
      </c>
      <c r="C1016" s="3" t="str">
        <f>HYPERLINK("https://otsuka-europe-crm.veevavault.com/ui/#object/sent_email__v/VBLZ025E82GGMKH", "SE-000255503")</f>
        <v>SE-000255503</v>
      </c>
      <c r="D1016" s="4" t="s">
        <v>11</v>
      </c>
      <c r="E1016" s="5">
        <v>0</v>
      </c>
      <c r="F1016" s="5">
        <v>0</v>
      </c>
      <c r="G1016" s="5">
        <v>0</v>
      </c>
      <c r="H1016" s="4" t="s">
        <v>11</v>
      </c>
      <c r="I1016" s="5">
        <v>0</v>
      </c>
      <c r="J1016" s="4">
        <v>45905.582384259258</v>
      </c>
    </row>
    <row r="1017" spans="1:10" x14ac:dyDescent="0.2">
      <c r="A1017" s="2" t="s">
        <v>10</v>
      </c>
      <c r="B1017" s="3" t="str">
        <f t="shared" si="23"/>
        <v>Emailing Abilify 960 mg fragments
FR-AM2-2400044</v>
      </c>
      <c r="C1017" s="3" t="str">
        <f>HYPERLINK("https://otsuka-europe-crm.veevavault.com/ui/#object/sent_email__v/VBLZ025E82GIMV9", "SE-000255610")</f>
        <v>SE-000255610</v>
      </c>
      <c r="D1017" s="4" t="s">
        <v>11</v>
      </c>
      <c r="E1017" s="5">
        <v>0</v>
      </c>
      <c r="F1017" s="5">
        <v>0</v>
      </c>
      <c r="G1017" s="5">
        <v>0</v>
      </c>
      <c r="H1017" s="4" t="s">
        <v>11</v>
      </c>
      <c r="I1017" s="5">
        <v>0</v>
      </c>
      <c r="J1017" s="4">
        <v>45909.487800925926</v>
      </c>
    </row>
    <row r="1018" spans="1:10" x14ac:dyDescent="0.2">
      <c r="A1018" s="2" t="s">
        <v>10</v>
      </c>
      <c r="B1018" s="3" t="str">
        <f t="shared" si="23"/>
        <v>Emailing Abilify 960 mg fragments
FR-AM2-2400044</v>
      </c>
      <c r="C1018" s="3" t="str">
        <f>HYPERLINK("https://otsuka-europe-crm.veevavault.com/ui/#object/sent_email__v/VBLZ025E82GJPZL", "SE-000255689")</f>
        <v>SE-000255689</v>
      </c>
      <c r="D1018" s="4" t="s">
        <v>11</v>
      </c>
      <c r="E1018" s="5">
        <v>0</v>
      </c>
      <c r="F1018" s="5">
        <v>0</v>
      </c>
      <c r="G1018" s="5">
        <v>0</v>
      </c>
      <c r="H1018" s="4" t="s">
        <v>11</v>
      </c>
      <c r="I1018" s="5">
        <v>0</v>
      </c>
      <c r="J1018" s="4">
        <v>45910.449664351851</v>
      </c>
    </row>
    <row r="1019" spans="1:10" x14ac:dyDescent="0.2">
      <c r="A1019" s="2" t="s">
        <v>10</v>
      </c>
      <c r="B1019" s="3" t="str">
        <f t="shared" si="23"/>
        <v>Emailing Abilify 960 mg fragments
FR-AM2-2400044</v>
      </c>
      <c r="C1019" s="3" t="str">
        <f>HYPERLINK("https://otsuka-europe-crm.veevavault.com/ui/#object/sent_email__v/VBLZ025E82GJQ2D", "SE-000255690")</f>
        <v>SE-000255690</v>
      </c>
      <c r="D1019" s="4">
        <v>45910.483680555553</v>
      </c>
      <c r="E1019" s="5">
        <v>1</v>
      </c>
      <c r="F1019" s="5">
        <v>1</v>
      </c>
      <c r="G1019" s="5">
        <v>0</v>
      </c>
      <c r="H1019" s="4" t="s">
        <v>11</v>
      </c>
      <c r="I1019" s="5">
        <v>0</v>
      </c>
      <c r="J1019" s="4">
        <v>45910.450567129628</v>
      </c>
    </row>
    <row r="1020" spans="1:10" x14ac:dyDescent="0.2">
      <c r="A1020" s="2" t="s">
        <v>10</v>
      </c>
      <c r="B1020" s="3" t="str">
        <f t="shared" si="23"/>
        <v>Emailing Abilify 960 mg fragments
FR-AM2-2400044</v>
      </c>
      <c r="C1020" s="3" t="str">
        <f>HYPERLINK("https://otsuka-europe-crm.veevavault.com/ui/#object/sent_email__v/VBLZ025E82GJQDH", "SE-000255691")</f>
        <v>SE-000255691</v>
      </c>
      <c r="D1020" s="4" t="s">
        <v>11</v>
      </c>
      <c r="E1020" s="5">
        <v>0</v>
      </c>
      <c r="F1020" s="5">
        <v>0</v>
      </c>
      <c r="G1020" s="5">
        <v>0</v>
      </c>
      <c r="H1020" s="4" t="s">
        <v>11</v>
      </c>
      <c r="I1020" s="5">
        <v>0</v>
      </c>
      <c r="J1020" s="4">
        <v>45910.451631944445</v>
      </c>
    </row>
    <row r="1021" spans="1:10" x14ac:dyDescent="0.2">
      <c r="A1021" s="2" t="s">
        <v>10</v>
      </c>
      <c r="B1021" s="3" t="str">
        <f t="shared" si="23"/>
        <v>Emailing Abilify 960 mg fragments
FR-AM2-2400044</v>
      </c>
      <c r="C1021" s="3" t="str">
        <f>HYPERLINK("https://otsuka-europe-crm.veevavault.com/ui/#object/sent_email__v/VBLZ025E82GLUU9", "SE-000259059")</f>
        <v>SE-000259059</v>
      </c>
      <c r="D1021" s="4">
        <v>45912.448055555556</v>
      </c>
      <c r="E1021" s="5">
        <v>1</v>
      </c>
      <c r="F1021" s="5">
        <v>3</v>
      </c>
      <c r="G1021" s="5">
        <v>0</v>
      </c>
      <c r="H1021" s="4" t="s">
        <v>11</v>
      </c>
      <c r="I1021" s="5">
        <v>0</v>
      </c>
      <c r="J1021" s="4">
        <v>45912.433576388888</v>
      </c>
    </row>
    <row r="1022" spans="1:10" x14ac:dyDescent="0.2">
      <c r="A1022" s="2" t="s">
        <v>10</v>
      </c>
      <c r="B1022" s="3" t="str">
        <f t="shared" si="23"/>
        <v>Emailing Abilify 960 mg fragments
FR-AM2-2400044</v>
      </c>
      <c r="C1022" s="3" t="str">
        <f>HYPERLINK("https://otsuka-europe-crm.veevavault.com/ui/#object/sent_email__v/VBLZ025E82GLV2L", "SE-000259060")</f>
        <v>SE-000259060</v>
      </c>
      <c r="D1022" s="4" t="s">
        <v>11</v>
      </c>
      <c r="E1022" s="5">
        <v>0</v>
      </c>
      <c r="F1022" s="5">
        <v>0</v>
      </c>
      <c r="G1022" s="5">
        <v>0</v>
      </c>
      <c r="H1022" s="4" t="s">
        <v>11</v>
      </c>
      <c r="I1022" s="5">
        <v>0</v>
      </c>
      <c r="J1022" s="4">
        <v>45912.43445601852</v>
      </c>
    </row>
    <row r="1023" spans="1:10" x14ac:dyDescent="0.2">
      <c r="A1023" s="2" t="s">
        <v>10</v>
      </c>
      <c r="B1023" s="3" t="str">
        <f t="shared" si="23"/>
        <v>Emailing Abilify 960 mg fragments
FR-AM2-2400044</v>
      </c>
      <c r="C1023" s="3" t="str">
        <f>HYPERLINK("https://otsuka-europe-crm.veevavault.com/ui/#object/sent_email__v/VBLZ025E82GLVAX", "SE-000259062")</f>
        <v>SE-000259062</v>
      </c>
      <c r="D1023" s="4">
        <v>45912.554224537038</v>
      </c>
      <c r="E1023" s="5">
        <v>1</v>
      </c>
      <c r="F1023" s="5">
        <v>2</v>
      </c>
      <c r="G1023" s="5">
        <v>0</v>
      </c>
      <c r="H1023" s="4" t="s">
        <v>11</v>
      </c>
      <c r="I1023" s="5">
        <v>0</v>
      </c>
      <c r="J1023" s="4">
        <v>45912.43582175926</v>
      </c>
    </row>
    <row r="1024" spans="1:10" x14ac:dyDescent="0.2">
      <c r="A1024" s="2" t="s">
        <v>10</v>
      </c>
      <c r="B1024" s="3" t="str">
        <f t="shared" si="23"/>
        <v>Emailing Abilify 960 mg fragments
FR-AM2-2400044</v>
      </c>
      <c r="C1024" s="3" t="str">
        <f>HYPERLINK("https://otsuka-europe-crm.veevavault.com/ui/#object/sent_email__v/VBLZ025E82H13DH", "SE-000281020")</f>
        <v>SE-000281020</v>
      </c>
      <c r="D1024" s="4" t="s">
        <v>11</v>
      </c>
      <c r="E1024" s="5">
        <v>0</v>
      </c>
      <c r="F1024" s="5">
        <v>0</v>
      </c>
      <c r="G1024" s="5">
        <v>0</v>
      </c>
      <c r="H1024" s="4" t="s">
        <v>11</v>
      </c>
      <c r="I1024" s="5">
        <v>0</v>
      </c>
      <c r="J1024" s="4">
        <v>45926.33798611111</v>
      </c>
    </row>
    <row r="1025" spans="1:10" x14ac:dyDescent="0.2">
      <c r="A1025" s="2" t="s">
        <v>10</v>
      </c>
      <c r="B1025" s="3" t="str">
        <f t="shared" si="23"/>
        <v>Emailing Abilify 960 mg fragments
FR-AM2-2400044</v>
      </c>
      <c r="C1025" s="3" t="str">
        <f>HYPERLINK("https://otsuka-europe-crm.veevavault.com/ui/#object/sent_email__v/VBLZ025E82H13J1", "SE-000281022")</f>
        <v>SE-000281022</v>
      </c>
      <c r="D1025" s="4">
        <v>45926.340150462966</v>
      </c>
      <c r="E1025" s="5">
        <v>1</v>
      </c>
      <c r="F1025" s="5">
        <v>1</v>
      </c>
      <c r="G1025" s="5">
        <v>0</v>
      </c>
      <c r="H1025" s="4" t="s">
        <v>11</v>
      </c>
      <c r="I1025" s="5">
        <v>0</v>
      </c>
      <c r="J1025" s="4">
        <v>45926.338680555556</v>
      </c>
    </row>
    <row r="1026" spans="1:10" x14ac:dyDescent="0.2">
      <c r="A1026" s="2" t="s">
        <v>10</v>
      </c>
      <c r="B1026" s="3" t="str">
        <f t="shared" si="23"/>
        <v>Emailing Abilify 960 mg fragments
FR-AM2-2400044</v>
      </c>
      <c r="C1026" s="3" t="str">
        <f>HYPERLINK("https://otsuka-europe-crm.veevavault.com/ui/#object/sent_email__v/VBLZ025E82H1DEL", "SE-000281040")</f>
        <v>SE-000281040</v>
      </c>
      <c r="D1026" s="4">
        <v>45926.447847222225</v>
      </c>
      <c r="E1026" s="5">
        <v>1</v>
      </c>
      <c r="F1026" s="5">
        <v>1</v>
      </c>
      <c r="G1026" s="5">
        <v>0</v>
      </c>
      <c r="H1026" s="4" t="s">
        <v>11</v>
      </c>
      <c r="I1026" s="5">
        <v>0</v>
      </c>
      <c r="J1026" s="4">
        <v>45926.447604166664</v>
      </c>
    </row>
    <row r="1027" spans="1:10" x14ac:dyDescent="0.2">
      <c r="A1027" s="2" t="s">
        <v>10</v>
      </c>
      <c r="B1027" s="3" t="str">
        <f t="shared" si="23"/>
        <v>Emailing Abilify 960 mg fragments
FR-AM2-2400044</v>
      </c>
      <c r="C1027" s="3" t="str">
        <f>HYPERLINK("https://otsuka-europe-crm.veevavault.com/ui/#object/sent_email__v/VBLZ025E82HC8ZT", "SE-000283649")</f>
        <v>SE-000283649</v>
      </c>
      <c r="D1027" s="4" t="s">
        <v>11</v>
      </c>
      <c r="E1027" s="5">
        <v>0</v>
      </c>
      <c r="F1027" s="5">
        <v>0</v>
      </c>
      <c r="G1027" s="5">
        <v>0</v>
      </c>
      <c r="H1027" s="4" t="s">
        <v>11</v>
      </c>
      <c r="I1027" s="5">
        <v>0</v>
      </c>
      <c r="J1027" s="4">
        <v>45936.704733796294</v>
      </c>
    </row>
    <row r="1028" spans="1:10" x14ac:dyDescent="0.2">
      <c r="A1028" s="2" t="s">
        <v>10</v>
      </c>
      <c r="B1028" s="3" t="str">
        <f t="shared" si="23"/>
        <v>Emailing Abilify 960 mg fragments
FR-AM2-2400044</v>
      </c>
      <c r="C1028" s="3" t="str">
        <f>HYPERLINK("https://otsuka-europe-crm.veevavault.com/ui/#object/sent_email__v/VBLZ025E82HFV35", "SE-000285096")</f>
        <v>SE-000285096</v>
      </c>
      <c r="D1028" s="4">
        <v>45941.718912037039</v>
      </c>
      <c r="E1028" s="5">
        <v>1</v>
      </c>
      <c r="F1028" s="5">
        <v>2</v>
      </c>
      <c r="G1028" s="5">
        <v>0</v>
      </c>
      <c r="H1028" s="4" t="s">
        <v>11</v>
      </c>
      <c r="I1028" s="5">
        <v>0</v>
      </c>
      <c r="J1028" s="4">
        <v>45939.430555555555</v>
      </c>
    </row>
    <row r="1029" spans="1:10" x14ac:dyDescent="0.2">
      <c r="A1029" s="2" t="s">
        <v>10</v>
      </c>
      <c r="B1029" s="3" t="str">
        <f t="shared" si="23"/>
        <v>Emailing Abilify 960 mg fragments
FR-AM2-2400044</v>
      </c>
      <c r="C1029" s="3" t="str">
        <f>HYPERLINK("https://otsuka-europe-crm.veevavault.com/ui/#object/sent_email__v/VBLZ025E82HJQZ9", "SE-000286920")</f>
        <v>SE-000286920</v>
      </c>
      <c r="D1029" s="4" t="s">
        <v>11</v>
      </c>
      <c r="E1029" s="5">
        <v>0</v>
      </c>
      <c r="F1029" s="5">
        <v>0</v>
      </c>
      <c r="G1029" s="5">
        <v>0</v>
      </c>
      <c r="H1029" s="4" t="s">
        <v>11</v>
      </c>
      <c r="I1029" s="5">
        <v>0</v>
      </c>
      <c r="J1029" s="4">
        <v>45944.409305555557</v>
      </c>
    </row>
    <row r="1030" spans="1:10" x14ac:dyDescent="0.2">
      <c r="A1030" s="2" t="s">
        <v>10</v>
      </c>
      <c r="B1030" s="3" t="str">
        <f t="shared" si="23"/>
        <v>Emailing Abilify 960 mg fragments
FR-AM2-2400044</v>
      </c>
      <c r="C1030" s="3" t="str">
        <f>HYPERLINK("https://otsuka-europe-crm.veevavault.com/ui/#object/sent_email__v/VBLZ025E82HQL1M", "SE-000289368")</f>
        <v>SE-000289368</v>
      </c>
      <c r="D1030" s="4" t="s">
        <v>11</v>
      </c>
      <c r="E1030" s="5">
        <v>0</v>
      </c>
      <c r="F1030" s="5">
        <v>0</v>
      </c>
      <c r="G1030" s="5">
        <v>0</v>
      </c>
      <c r="H1030" s="4" t="s">
        <v>11</v>
      </c>
      <c r="I1030" s="5">
        <v>0</v>
      </c>
      <c r="J1030" s="4">
        <v>45951.645509259259</v>
      </c>
    </row>
    <row r="1031" spans="1:10" x14ac:dyDescent="0.2">
      <c r="A1031" s="2" t="s">
        <v>10</v>
      </c>
      <c r="B1031" s="3" t="str">
        <f t="shared" si="23"/>
        <v>Emailing Abilify 960 mg fragments
FR-AM2-2400044</v>
      </c>
      <c r="C1031" s="3" t="str">
        <f>HYPERLINK("https://otsuka-europe-crm.veevavault.com/ui/#object/sent_email__v/VBLZ025E82HRNE5", "SE-000290112")</f>
        <v>SE-000290112</v>
      </c>
      <c r="D1031" s="4">
        <v>45999.760057870371</v>
      </c>
      <c r="E1031" s="5">
        <v>1</v>
      </c>
      <c r="F1031" s="5">
        <v>2</v>
      </c>
      <c r="G1031" s="5">
        <v>0</v>
      </c>
      <c r="H1031" s="4" t="s">
        <v>11</v>
      </c>
      <c r="I1031" s="5">
        <v>0</v>
      </c>
      <c r="J1031" s="4">
        <v>45952.640694444446</v>
      </c>
    </row>
    <row r="1032" spans="1:10" x14ac:dyDescent="0.2">
      <c r="A1032" s="2" t="s">
        <v>10</v>
      </c>
      <c r="B1032" s="3" t="str">
        <f t="shared" si="23"/>
        <v>Emailing Abilify 960 mg fragments
FR-AM2-2400044</v>
      </c>
      <c r="C1032" s="3" t="str">
        <f>HYPERLINK("https://otsuka-europe-crm.veevavault.com/ui/#object/sent_email__v/VBLZ025E82HRNGX", "SE-000290113")</f>
        <v>SE-000290113</v>
      </c>
      <c r="D1032" s="4" t="s">
        <v>11</v>
      </c>
      <c r="E1032" s="5">
        <v>0</v>
      </c>
      <c r="F1032" s="5">
        <v>0</v>
      </c>
      <c r="G1032" s="5">
        <v>0</v>
      </c>
      <c r="H1032" s="4" t="s">
        <v>11</v>
      </c>
      <c r="I1032" s="5">
        <v>0</v>
      </c>
      <c r="J1032" s="4">
        <v>45952.641631944447</v>
      </c>
    </row>
    <row r="1033" spans="1:10" x14ac:dyDescent="0.2">
      <c r="A1033" s="2" t="s">
        <v>10</v>
      </c>
      <c r="B1033" s="3" t="str">
        <f t="shared" si="23"/>
        <v>Emailing Abilify 960 mg fragments
FR-AM2-2400044</v>
      </c>
      <c r="C1033" s="3" t="str">
        <f>HYPERLINK("https://otsuka-europe-crm.veevavault.com/ui/#object/sent_email__v/VBLZ025E82HRNJP", "SE-000290114")</f>
        <v>SE-000290114</v>
      </c>
      <c r="D1033" s="4" t="s">
        <v>11</v>
      </c>
      <c r="E1033" s="5">
        <v>0</v>
      </c>
      <c r="F1033" s="5">
        <v>0</v>
      </c>
      <c r="G1033" s="5">
        <v>0</v>
      </c>
      <c r="H1033" s="4" t="s">
        <v>11</v>
      </c>
      <c r="I1033" s="5">
        <v>0</v>
      </c>
      <c r="J1033" s="4">
        <v>45952.642060185186</v>
      </c>
    </row>
    <row r="1034" spans="1:10" x14ac:dyDescent="0.2">
      <c r="A1034" s="2" t="s">
        <v>10</v>
      </c>
      <c r="B1034" s="3" t="str">
        <f t="shared" si="23"/>
        <v>Emailing Abilify 960 mg fragments
FR-AM2-2400044</v>
      </c>
      <c r="C1034" s="3" t="str">
        <f>HYPERLINK("https://otsuka-europe-crm.veevavault.com/ui/#object/sent_email__v/VBL000000004196", "SE-001380247")</f>
        <v>SE-001380247</v>
      </c>
      <c r="D1034" s="4" t="s">
        <v>11</v>
      </c>
      <c r="E1034" s="5">
        <v>0</v>
      </c>
      <c r="F1034" s="5">
        <v>0</v>
      </c>
      <c r="G1034" s="5">
        <v>0</v>
      </c>
      <c r="H1034" s="4" t="s">
        <v>11</v>
      </c>
      <c r="I1034" s="5">
        <v>0</v>
      </c>
      <c r="J1034" s="4">
        <v>45964.269236111111</v>
      </c>
    </row>
    <row r="1035" spans="1:10" x14ac:dyDescent="0.2">
      <c r="A1035" s="2" t="s">
        <v>10</v>
      </c>
      <c r="B1035" s="3" t="str">
        <f t="shared" si="23"/>
        <v>Emailing Abilify 960 mg fragments
FR-AM2-2400044</v>
      </c>
      <c r="C1035" s="3" t="str">
        <f>HYPERLINK("https://otsuka-europe-crm.veevavault.com/ui/#object/sent_email__v/VBL000000005376", "SE-001380248")</f>
        <v>SE-001380248</v>
      </c>
      <c r="D1035" s="4" t="s">
        <v>11</v>
      </c>
      <c r="E1035" s="5">
        <v>0</v>
      </c>
      <c r="F1035" s="5">
        <v>0</v>
      </c>
      <c r="G1035" s="5">
        <v>0</v>
      </c>
      <c r="H1035" s="4" t="s">
        <v>11</v>
      </c>
      <c r="I1035" s="5">
        <v>0</v>
      </c>
      <c r="J1035" s="4">
        <v>45964.27071759259</v>
      </c>
    </row>
    <row r="1036" spans="1:10" x14ac:dyDescent="0.2">
      <c r="A1036" s="2" t="s">
        <v>10</v>
      </c>
      <c r="B1036" s="3" t="str">
        <f t="shared" si="23"/>
        <v>Emailing Abilify 960 mg fragments
FR-AM2-2400044</v>
      </c>
      <c r="C1036" s="3" t="str">
        <f>HYPERLINK("https://otsuka-europe-crm.veevavault.com/ui/#object/sent_email__v/VBL000000004197", "SE-001380249")</f>
        <v>SE-001380249</v>
      </c>
      <c r="D1036" s="4" t="s">
        <v>11</v>
      </c>
      <c r="E1036" s="5">
        <v>0</v>
      </c>
      <c r="F1036" s="5">
        <v>0</v>
      </c>
      <c r="G1036" s="5">
        <v>0</v>
      </c>
      <c r="H1036" s="4" t="s">
        <v>11</v>
      </c>
      <c r="I1036" s="5">
        <v>0</v>
      </c>
      <c r="J1036" s="4">
        <v>45964.271365740744</v>
      </c>
    </row>
    <row r="1037" spans="1:10" x14ac:dyDescent="0.2">
      <c r="A1037" s="2" t="s">
        <v>10</v>
      </c>
      <c r="B1037" s="3" t="str">
        <f t="shared" si="23"/>
        <v>Emailing Abilify 960 mg fragments
FR-AM2-2400044</v>
      </c>
      <c r="C1037" s="3" t="str">
        <f>HYPERLINK("https://otsuka-europe-crm.veevavault.com/ui/#object/sent_email__v/VBL000000004198", "SE-001380250")</f>
        <v>SE-001380250</v>
      </c>
      <c r="D1037" s="4" t="s">
        <v>11</v>
      </c>
      <c r="E1037" s="5">
        <v>0</v>
      </c>
      <c r="F1037" s="5">
        <v>0</v>
      </c>
      <c r="G1037" s="5">
        <v>0</v>
      </c>
      <c r="H1037" s="4" t="s">
        <v>11</v>
      </c>
      <c r="I1037" s="5">
        <v>0</v>
      </c>
      <c r="J1037" s="4">
        <v>45964.271770833337</v>
      </c>
    </row>
    <row r="1038" spans="1:10" x14ac:dyDescent="0.2">
      <c r="A1038" s="2" t="s">
        <v>10</v>
      </c>
      <c r="B1038" s="3" t="str">
        <f t="shared" si="23"/>
        <v>Emailing Abilify 960 mg fragments
FR-AM2-2400044</v>
      </c>
      <c r="C1038" s="3" t="str">
        <f>HYPERLINK("https://otsuka-europe-crm.veevavault.com/ui/#object/sent_email__v/VBL000000004952", "SE-001381657")</f>
        <v>SE-001381657</v>
      </c>
      <c r="D1038" s="4">
        <v>45968.690057870372</v>
      </c>
      <c r="E1038" s="5">
        <v>1</v>
      </c>
      <c r="F1038" s="5">
        <v>2</v>
      </c>
      <c r="G1038" s="5">
        <v>0</v>
      </c>
      <c r="H1038" s="4" t="s">
        <v>11</v>
      </c>
      <c r="I1038" s="5">
        <v>0</v>
      </c>
      <c r="J1038" s="4">
        <v>45967.69604166667</v>
      </c>
    </row>
    <row r="1039" spans="1:10" x14ac:dyDescent="0.2">
      <c r="A1039" s="2" t="s">
        <v>10</v>
      </c>
      <c r="B1039" s="3" t="str">
        <f t="shared" si="23"/>
        <v>Emailing Abilify 960 mg fragments
FR-AM2-2400044</v>
      </c>
      <c r="C1039" s="3" t="str">
        <f>HYPERLINK("https://otsuka-europe-crm.veevavault.com/ui/#object/sent_email__v/VBL000000008005", "SE-001381682")</f>
        <v>SE-001381682</v>
      </c>
      <c r="D1039" s="4" t="s">
        <v>11</v>
      </c>
      <c r="E1039" s="5">
        <v>0</v>
      </c>
      <c r="F1039" s="5">
        <v>0</v>
      </c>
      <c r="G1039" s="5">
        <v>0</v>
      </c>
      <c r="H1039" s="4" t="s">
        <v>11</v>
      </c>
      <c r="I1039" s="5">
        <v>0</v>
      </c>
      <c r="J1039" s="4">
        <v>45968.311006944445</v>
      </c>
    </row>
    <row r="1040" spans="1:10" x14ac:dyDescent="0.2">
      <c r="A1040" s="2" t="s">
        <v>10</v>
      </c>
      <c r="B1040" s="3" t="str">
        <f t="shared" si="23"/>
        <v>Emailing Abilify 960 mg fragments
FR-AM2-2400044</v>
      </c>
      <c r="C1040" s="3" t="str">
        <f>HYPERLINK("https://otsuka-europe-crm.veevavault.com/ui/#object/sent_email__v/VBL000000008489", "SE-001381689")</f>
        <v>SE-001381689</v>
      </c>
      <c r="D1040" s="4">
        <v>45974.365914351853</v>
      </c>
      <c r="E1040" s="5">
        <v>1</v>
      </c>
      <c r="F1040" s="5">
        <v>1</v>
      </c>
      <c r="G1040" s="5">
        <v>0</v>
      </c>
      <c r="H1040" s="4" t="s">
        <v>11</v>
      </c>
      <c r="I1040" s="5">
        <v>0</v>
      </c>
      <c r="J1040" s="4">
        <v>45968.407361111109</v>
      </c>
    </row>
    <row r="1041" spans="1:10" x14ac:dyDescent="0.2">
      <c r="A1041" s="2" t="s">
        <v>10</v>
      </c>
      <c r="B1041" s="3" t="str">
        <f t="shared" si="23"/>
        <v>Emailing Abilify 960 mg fragments
FR-AM2-2400044</v>
      </c>
      <c r="C1041" s="3" t="str">
        <f>HYPERLINK("https://otsuka-europe-crm.veevavault.com/ui/#object/sent_email__v/VBL000000008490", "SE-001381690")</f>
        <v>SE-001381690</v>
      </c>
      <c r="D1041" s="4" t="s">
        <v>11</v>
      </c>
      <c r="E1041" s="5">
        <v>0</v>
      </c>
      <c r="F1041" s="5">
        <v>0</v>
      </c>
      <c r="G1041" s="5">
        <v>0</v>
      </c>
      <c r="H1041" s="4" t="s">
        <v>11</v>
      </c>
      <c r="I1041" s="5">
        <v>0</v>
      </c>
      <c r="J1041" s="4">
        <v>45968.408020833333</v>
      </c>
    </row>
    <row r="1042" spans="1:10" x14ac:dyDescent="0.2">
      <c r="A1042" s="2" t="s">
        <v>10</v>
      </c>
      <c r="B1042" s="3" t="str">
        <f t="shared" si="23"/>
        <v>Emailing Abilify 960 mg fragments
FR-AM2-2400044</v>
      </c>
      <c r="C1042" s="3" t="str">
        <f>HYPERLINK("https://otsuka-europe-crm.veevavault.com/ui/#object/sent_email__v/VBL000000008491", "SE-001381691")</f>
        <v>SE-001381691</v>
      </c>
      <c r="D1042" s="4" t="s">
        <v>11</v>
      </c>
      <c r="E1042" s="5">
        <v>0</v>
      </c>
      <c r="F1042" s="5">
        <v>0</v>
      </c>
      <c r="G1042" s="5">
        <v>0</v>
      </c>
      <c r="H1042" s="4" t="s">
        <v>11</v>
      </c>
      <c r="I1042" s="5">
        <v>0</v>
      </c>
      <c r="J1042" s="4">
        <v>45968.409131944441</v>
      </c>
    </row>
    <row r="1043" spans="1:10" x14ac:dyDescent="0.2">
      <c r="A1043" s="2" t="s">
        <v>10</v>
      </c>
      <c r="B1043" s="3" t="str">
        <f t="shared" si="23"/>
        <v>Emailing Abilify 960 mg fragments
FR-AM2-2400044</v>
      </c>
      <c r="C1043" s="3" t="str">
        <f>HYPERLINK("https://otsuka-europe-crm.veevavault.com/ui/#object/sent_email__v/VBL000000008492", "SE-001381692")</f>
        <v>SE-001381692</v>
      </c>
      <c r="D1043" s="4">
        <v>45968.444918981484</v>
      </c>
      <c r="E1043" s="5">
        <v>1</v>
      </c>
      <c r="F1043" s="5">
        <v>1</v>
      </c>
      <c r="G1043" s="5">
        <v>0</v>
      </c>
      <c r="H1043" s="4" t="s">
        <v>11</v>
      </c>
      <c r="I1043" s="5">
        <v>0</v>
      </c>
      <c r="J1043" s="4">
        <v>45968.410324074073</v>
      </c>
    </row>
    <row r="1044" spans="1:10" x14ac:dyDescent="0.2">
      <c r="A1044" s="2" t="s">
        <v>10</v>
      </c>
      <c r="B1044" s="3" t="str">
        <f t="shared" si="23"/>
        <v>Emailing Abilify 960 mg fragments
FR-AM2-2400044</v>
      </c>
      <c r="C1044" s="3" t="str">
        <f>HYPERLINK("https://otsuka-europe-crm.veevavault.com/ui/#object/sent_email__v/VBL000000007357", "SE-001381693")</f>
        <v>SE-001381693</v>
      </c>
      <c r="D1044" s="4" t="s">
        <v>11</v>
      </c>
      <c r="E1044" s="5">
        <v>0</v>
      </c>
      <c r="F1044" s="5">
        <v>0</v>
      </c>
      <c r="G1044" s="5">
        <v>0</v>
      </c>
      <c r="H1044" s="4" t="s">
        <v>11</v>
      </c>
      <c r="I1044" s="5">
        <v>0</v>
      </c>
      <c r="J1044" s="4">
        <v>45968.411435185182</v>
      </c>
    </row>
    <row r="1045" spans="1:10" x14ac:dyDescent="0.2">
      <c r="A1045" s="2" t="s">
        <v>10</v>
      </c>
      <c r="B1045" s="3" t="str">
        <f t="shared" si="23"/>
        <v>Emailing Abilify 960 mg fragments
FR-AM2-2400044</v>
      </c>
      <c r="C1045" s="3" t="str">
        <f>HYPERLINK("https://otsuka-europe-crm.veevavault.com/ui/#object/sent_email__v/VBL000000007358", "SE-001381694")</f>
        <v>SE-001381694</v>
      </c>
      <c r="D1045" s="4" t="s">
        <v>11</v>
      </c>
      <c r="E1045" s="5">
        <v>0</v>
      </c>
      <c r="F1045" s="5">
        <v>0</v>
      </c>
      <c r="G1045" s="5">
        <v>0</v>
      </c>
      <c r="H1045" s="4" t="s">
        <v>11</v>
      </c>
      <c r="I1045" s="5">
        <v>0</v>
      </c>
      <c r="J1045" s="4">
        <v>45968.41233796296</v>
      </c>
    </row>
    <row r="1046" spans="1:10" x14ac:dyDescent="0.2">
      <c r="A1046" s="2" t="s">
        <v>10</v>
      </c>
      <c r="B1046" s="3" t="str">
        <f t="shared" si="23"/>
        <v>Emailing Abilify 960 mg fragments
FR-AM2-2400044</v>
      </c>
      <c r="C1046" s="3" t="str">
        <f>HYPERLINK("https://otsuka-europe-crm.veevavault.com/ui/#object/sent_email__v/VBL000000007438", "SE-001381883")</f>
        <v>SE-001381883</v>
      </c>
      <c r="D1046" s="4">
        <v>45968.930474537039</v>
      </c>
      <c r="E1046" s="5">
        <v>1</v>
      </c>
      <c r="F1046" s="5">
        <v>2</v>
      </c>
      <c r="G1046" s="5">
        <v>1</v>
      </c>
      <c r="H1046" s="4">
        <v>45968.492615740739</v>
      </c>
      <c r="I1046" s="5">
        <v>1</v>
      </c>
      <c r="J1046" s="4">
        <v>45968.492280092592</v>
      </c>
    </row>
    <row r="1047" spans="1:10" x14ac:dyDescent="0.2">
      <c r="A1047" s="2" t="s">
        <v>10</v>
      </c>
      <c r="B1047" s="3" t="str">
        <f t="shared" si="23"/>
        <v>Emailing Abilify 960 mg fragments
FR-AM2-2400044</v>
      </c>
      <c r="C1047" s="3" t="str">
        <f>HYPERLINK("https://otsuka-europe-crm.veevavault.com/ui/#object/sent_email__v/VBL000000009718", "SE-001383864")</f>
        <v>SE-001383864</v>
      </c>
      <c r="D1047" s="4">
        <v>45968.789652777778</v>
      </c>
      <c r="E1047" s="5">
        <v>1</v>
      </c>
      <c r="F1047" s="5">
        <v>1</v>
      </c>
      <c r="G1047" s="5">
        <v>0</v>
      </c>
      <c r="H1047" s="4" t="s">
        <v>11</v>
      </c>
      <c r="I1047" s="5">
        <v>0</v>
      </c>
      <c r="J1047" s="4">
        <v>45968.753125000003</v>
      </c>
    </row>
    <row r="1048" spans="1:10" x14ac:dyDescent="0.2">
      <c r="A1048" s="2" t="s">
        <v>10</v>
      </c>
      <c r="B1048" s="3" t="str">
        <f t="shared" si="23"/>
        <v>Emailing Abilify 960 mg fragments
FR-AM2-2400044</v>
      </c>
      <c r="C1048" s="3" t="str">
        <f>HYPERLINK("https://otsuka-europe-crm.veevavault.com/ui/#object/sent_email__v/VBL00000000M977", "SE-001390292")</f>
        <v>SE-001390292</v>
      </c>
      <c r="D1048" s="4">
        <v>45982.773680555554</v>
      </c>
      <c r="E1048" s="5">
        <v>1</v>
      </c>
      <c r="F1048" s="5">
        <v>2</v>
      </c>
      <c r="G1048" s="5">
        <v>0</v>
      </c>
      <c r="H1048" s="4" t="s">
        <v>11</v>
      </c>
      <c r="I1048" s="5">
        <v>0</v>
      </c>
      <c r="J1048" s="4">
        <v>45975.532037037039</v>
      </c>
    </row>
    <row r="1049" spans="1:10" x14ac:dyDescent="0.2">
      <c r="A1049" s="2" t="s">
        <v>10</v>
      </c>
      <c r="B1049" s="3" t="str">
        <f t="shared" si="23"/>
        <v>Emailing Abilify 960 mg fragments
FR-AM2-2400044</v>
      </c>
      <c r="C1049" s="3" t="str">
        <f>HYPERLINK("https://otsuka-europe-crm.veevavault.com/ui/#object/sent_email__v/VBL00000000N273", "SE-001390405")</f>
        <v>SE-001390405</v>
      </c>
      <c r="D1049" s="4">
        <v>45998.739386574074</v>
      </c>
      <c r="E1049" s="5">
        <v>1</v>
      </c>
      <c r="F1049" s="5">
        <v>3</v>
      </c>
      <c r="G1049" s="5">
        <v>0</v>
      </c>
      <c r="H1049" s="4" t="s">
        <v>11</v>
      </c>
      <c r="I1049" s="5">
        <v>0</v>
      </c>
      <c r="J1049" s="4">
        <v>45975.687013888892</v>
      </c>
    </row>
    <row r="1050" spans="1:10" x14ac:dyDescent="0.2">
      <c r="A1050" s="2" t="s">
        <v>10</v>
      </c>
      <c r="B1050" s="3" t="str">
        <f t="shared" si="23"/>
        <v>Emailing Abilify 960 mg fragments
FR-AM2-2400044</v>
      </c>
      <c r="C1050" s="3" t="str">
        <f>HYPERLINK("https://otsuka-europe-crm.veevavault.com/ui/#object/sent_email__v/VBL00000000O098", "SE-001390427")</f>
        <v>SE-001390427</v>
      </c>
      <c r="D1050" s="4" t="s">
        <v>11</v>
      </c>
      <c r="E1050" s="5">
        <v>0</v>
      </c>
      <c r="F1050" s="5">
        <v>0</v>
      </c>
      <c r="G1050" s="5">
        <v>0</v>
      </c>
      <c r="H1050" s="4" t="s">
        <v>11</v>
      </c>
      <c r="I1050" s="5">
        <v>0</v>
      </c>
      <c r="J1050" s="4">
        <v>45978.30091435185</v>
      </c>
    </row>
    <row r="1051" spans="1:10" x14ac:dyDescent="0.2">
      <c r="A1051" s="2" t="s">
        <v>10</v>
      </c>
      <c r="B1051" s="3" t="str">
        <f t="shared" si="23"/>
        <v>Emailing Abilify 960 mg fragments
FR-AM2-2400044</v>
      </c>
      <c r="C1051" s="3" t="str">
        <f>HYPERLINK("https://otsuka-europe-crm.veevavault.com/ui/#object/sent_email__v/VBL00000000O100", "SE-001390429")</f>
        <v>SE-001390429</v>
      </c>
      <c r="D1051" s="4" t="s">
        <v>11</v>
      </c>
      <c r="E1051" s="5">
        <v>0</v>
      </c>
      <c r="F1051" s="5">
        <v>0</v>
      </c>
      <c r="G1051" s="5">
        <v>0</v>
      </c>
      <c r="H1051" s="4" t="s">
        <v>11</v>
      </c>
      <c r="I1051" s="5">
        <v>0</v>
      </c>
      <c r="J1051" s="4">
        <v>45978.301192129627</v>
      </c>
    </row>
    <row r="1052" spans="1:10" x14ac:dyDescent="0.2">
      <c r="A1052" s="2" t="s">
        <v>10</v>
      </c>
      <c r="B1052" s="3" t="str">
        <f t="shared" si="23"/>
        <v>Emailing Abilify 960 mg fragments
FR-AM2-2400044</v>
      </c>
      <c r="C1052" s="3" t="str">
        <f>HYPERLINK("https://otsuka-europe-crm.veevavault.com/ui/#object/sent_email__v/VBL00000000O101", "SE-001390430")</f>
        <v>SE-001390430</v>
      </c>
      <c r="D1052" s="4" t="s">
        <v>11</v>
      </c>
      <c r="E1052" s="5">
        <v>0</v>
      </c>
      <c r="F1052" s="5">
        <v>0</v>
      </c>
      <c r="G1052" s="5">
        <v>0</v>
      </c>
      <c r="H1052" s="4" t="s">
        <v>11</v>
      </c>
      <c r="I1052" s="5">
        <v>0</v>
      </c>
      <c r="J1052" s="4">
        <v>45978.301493055558</v>
      </c>
    </row>
    <row r="1053" spans="1:10" x14ac:dyDescent="0.2">
      <c r="A1053" s="2" t="s">
        <v>10</v>
      </c>
      <c r="B1053" s="3" t="str">
        <f t="shared" si="23"/>
        <v>Emailing Abilify 960 mg fragments
FR-AM2-2400044</v>
      </c>
      <c r="C1053" s="3" t="str">
        <f>HYPERLINK("https://otsuka-europe-crm.veevavault.com/ui/#object/sent_email__v/VBL00000000O105", "SE-001390434")</f>
        <v>SE-001390434</v>
      </c>
      <c r="D1053" s="4" t="s">
        <v>11</v>
      </c>
      <c r="E1053" s="5">
        <v>0</v>
      </c>
      <c r="F1053" s="5">
        <v>0</v>
      </c>
      <c r="G1053" s="5">
        <v>0</v>
      </c>
      <c r="H1053" s="4" t="s">
        <v>11</v>
      </c>
      <c r="I1053" s="5">
        <v>0</v>
      </c>
      <c r="J1053" s="4">
        <v>45978.302673611113</v>
      </c>
    </row>
    <row r="1054" spans="1:10" x14ac:dyDescent="0.2">
      <c r="A1054" s="2" t="s">
        <v>10</v>
      </c>
      <c r="B1054" s="3" t="str">
        <f t="shared" si="23"/>
        <v>Emailing Abilify 960 mg fragments
FR-AM2-2400044</v>
      </c>
      <c r="C1054" s="3" t="str">
        <f>HYPERLINK("https://otsuka-europe-crm.veevavault.com/ui/#object/sent_email__v/VBL00000000N501", "SE-001390833")</f>
        <v>SE-001390833</v>
      </c>
      <c r="D1054" s="4">
        <v>45979.920740740738</v>
      </c>
      <c r="E1054" s="5">
        <v>1</v>
      </c>
      <c r="F1054" s="5">
        <v>1</v>
      </c>
      <c r="G1054" s="5">
        <v>0</v>
      </c>
      <c r="H1054" s="4" t="s">
        <v>11</v>
      </c>
      <c r="I1054" s="5">
        <v>0</v>
      </c>
      <c r="J1054" s="4">
        <v>45979.453761574077</v>
      </c>
    </row>
    <row r="1055" spans="1:10" x14ac:dyDescent="0.2">
      <c r="A1055" s="2" t="s">
        <v>10</v>
      </c>
      <c r="B1055" s="3" t="str">
        <f t="shared" si="23"/>
        <v>Emailing Abilify 960 mg fragments
FR-AM2-2400044</v>
      </c>
      <c r="C1055" s="3" t="str">
        <f>HYPERLINK("https://otsuka-europe-crm.veevavault.com/ui/#object/sent_email__v/VBL00000000Q241", "SE-001391437")</f>
        <v>SE-001391437</v>
      </c>
      <c r="D1055" s="4">
        <v>45982.366851851853</v>
      </c>
      <c r="E1055" s="5">
        <v>1</v>
      </c>
      <c r="F1055" s="5">
        <v>1</v>
      </c>
      <c r="G1055" s="5">
        <v>1</v>
      </c>
      <c r="H1055" s="4">
        <v>45982.367754629631</v>
      </c>
      <c r="I1055" s="5">
        <v>2</v>
      </c>
      <c r="J1055" s="4">
        <v>45981.702210648145</v>
      </c>
    </row>
    <row r="1056" spans="1:10" x14ac:dyDescent="0.2">
      <c r="A1056" s="2" t="s">
        <v>10</v>
      </c>
      <c r="B1056" s="3" t="str">
        <f t="shared" si="23"/>
        <v>Emailing Abilify 960 mg fragments
FR-AM2-2400044</v>
      </c>
      <c r="C1056" s="3" t="str">
        <f>HYPERLINK("https://otsuka-europe-crm.veevavault.com/ui/#object/sent_email__v/VBL00000000R030", "SE-001391584")</f>
        <v>SE-001391584</v>
      </c>
      <c r="D1056" s="4" t="s">
        <v>11</v>
      </c>
      <c r="E1056" s="5">
        <v>0</v>
      </c>
      <c r="F1056" s="5">
        <v>0</v>
      </c>
      <c r="G1056" s="5">
        <v>0</v>
      </c>
      <c r="H1056" s="4" t="s">
        <v>11</v>
      </c>
      <c r="I1056" s="5">
        <v>0</v>
      </c>
      <c r="J1056" s="4">
        <v>45984.899606481478</v>
      </c>
    </row>
    <row r="1057" spans="1:10" x14ac:dyDescent="0.2">
      <c r="A1057" s="2" t="s">
        <v>10</v>
      </c>
      <c r="B1057" s="3" t="str">
        <f t="shared" si="23"/>
        <v>Emailing Abilify 960 mg fragments
FR-AM2-2400044</v>
      </c>
      <c r="C1057" s="3" t="str">
        <f>HYPERLINK("https://otsuka-europe-crm.veevavault.com/ui/#object/sent_email__v/VBL00000000R200", "SE-001391789")</f>
        <v>SE-001391789</v>
      </c>
      <c r="D1057" s="4" t="s">
        <v>11</v>
      </c>
      <c r="E1057" s="5">
        <v>0</v>
      </c>
      <c r="F1057" s="5">
        <v>0</v>
      </c>
      <c r="G1057" s="5">
        <v>0</v>
      </c>
      <c r="H1057" s="4" t="s">
        <v>11</v>
      </c>
      <c r="I1057" s="5">
        <v>0</v>
      </c>
      <c r="J1057" s="4">
        <v>45985.700972222221</v>
      </c>
    </row>
    <row r="1058" spans="1:10" x14ac:dyDescent="0.2">
      <c r="A1058" s="2" t="s">
        <v>10</v>
      </c>
      <c r="B1058" s="3" t="str">
        <f t="shared" si="23"/>
        <v>Emailing Abilify 960 mg fragments
FR-AM2-2400044</v>
      </c>
      <c r="C1058" s="3" t="str">
        <f>HYPERLINK("https://otsuka-europe-crm.veevavault.com/ui/#object/sent_email__v/VBL00000000S067", "SE-001391792")</f>
        <v>SE-001391792</v>
      </c>
      <c r="D1058" s="4" t="s">
        <v>11</v>
      </c>
      <c r="E1058" s="5">
        <v>0</v>
      </c>
      <c r="F1058" s="5">
        <v>0</v>
      </c>
      <c r="G1058" s="5">
        <v>0</v>
      </c>
      <c r="H1058" s="4" t="s">
        <v>11</v>
      </c>
      <c r="I1058" s="5">
        <v>0</v>
      </c>
      <c r="J1058" s="4">
        <v>45985.70244212963</v>
      </c>
    </row>
    <row r="1059" spans="1:10" x14ac:dyDescent="0.2">
      <c r="A1059" s="2" t="s">
        <v>10</v>
      </c>
      <c r="B1059" s="3" t="str">
        <f t="shared" si="23"/>
        <v>Emailing Abilify 960 mg fragments
FR-AM2-2400044</v>
      </c>
      <c r="C1059" s="3" t="str">
        <f>HYPERLINK("https://otsuka-europe-crm.veevavault.com/ui/#object/sent_email__v/VBL00000000S115", "SE-001391901")</f>
        <v>SE-001391901</v>
      </c>
      <c r="D1059" s="4">
        <v>45993.389224537037</v>
      </c>
      <c r="E1059" s="5">
        <v>1</v>
      </c>
      <c r="F1059" s="5">
        <v>1</v>
      </c>
      <c r="G1059" s="5">
        <v>0</v>
      </c>
      <c r="H1059" s="4" t="s">
        <v>11</v>
      </c>
      <c r="I1059" s="5">
        <v>0</v>
      </c>
      <c r="J1059" s="4">
        <v>45986.63890046296</v>
      </c>
    </row>
    <row r="1060" spans="1:10" x14ac:dyDescent="0.2">
      <c r="A1060" s="2" t="s">
        <v>10</v>
      </c>
      <c r="B1060" s="3" t="str">
        <f t="shared" si="23"/>
        <v>Emailing Abilify 960 mg fragments
FR-AM2-2400044</v>
      </c>
      <c r="C1060" s="3" t="str">
        <f>HYPERLINK("https://otsuka-europe-crm.veevavault.com/ui/#object/sent_email__v/VBL00000000R284", "SE-001391912")</f>
        <v>SE-001391912</v>
      </c>
      <c r="D1060" s="4" t="s">
        <v>11</v>
      </c>
      <c r="E1060" s="5">
        <v>0</v>
      </c>
      <c r="F1060" s="5">
        <v>0</v>
      </c>
      <c r="G1060" s="5">
        <v>0</v>
      </c>
      <c r="H1060" s="4" t="s">
        <v>11</v>
      </c>
      <c r="I1060" s="5">
        <v>0</v>
      </c>
      <c r="J1060" s="4">
        <v>45986.693449074075</v>
      </c>
    </row>
    <row r="1061" spans="1:10" x14ac:dyDescent="0.2">
      <c r="A1061" s="2" t="s">
        <v>10</v>
      </c>
      <c r="B1061" s="3" t="str">
        <f t="shared" si="23"/>
        <v>Emailing Abilify 960 mg fragments
FR-AM2-2400044</v>
      </c>
      <c r="C1061" s="3" t="str">
        <f>HYPERLINK("https://otsuka-europe-crm.veevavault.com/ui/#object/sent_email__v/VBL00000000R285", "SE-001391913")</f>
        <v>SE-001391913</v>
      </c>
      <c r="D1061" s="4" t="s">
        <v>11</v>
      </c>
      <c r="E1061" s="5">
        <v>0</v>
      </c>
      <c r="F1061" s="5">
        <v>0</v>
      </c>
      <c r="G1061" s="5">
        <v>0</v>
      </c>
      <c r="H1061" s="4" t="s">
        <v>11</v>
      </c>
      <c r="I1061" s="5">
        <v>0</v>
      </c>
      <c r="J1061" s="4">
        <v>45986.693472222221</v>
      </c>
    </row>
    <row r="1062" spans="1:10" x14ac:dyDescent="0.2">
      <c r="A1062" s="2" t="s">
        <v>10</v>
      </c>
      <c r="B1062" s="3" t="str">
        <f t="shared" si="23"/>
        <v>Emailing Abilify 960 mg fragments
FR-AM2-2400044</v>
      </c>
      <c r="C1062" s="3" t="str">
        <f>HYPERLINK("https://otsuka-europe-crm.veevavault.com/ui/#object/sent_email__v/VBL00000000U376", "SE-001394797")</f>
        <v>SE-001394797</v>
      </c>
      <c r="D1062" s="4" t="s">
        <v>11</v>
      </c>
      <c r="E1062" s="5">
        <v>0</v>
      </c>
      <c r="F1062" s="5">
        <v>0</v>
      </c>
      <c r="G1062" s="5">
        <v>0</v>
      </c>
      <c r="H1062" s="4" t="s">
        <v>11</v>
      </c>
      <c r="I1062" s="5">
        <v>0</v>
      </c>
      <c r="J1062" s="4">
        <v>45994.34516203704</v>
      </c>
    </row>
    <row r="1063" spans="1:10" x14ac:dyDescent="0.2">
      <c r="A1063" s="2" t="s">
        <v>10</v>
      </c>
      <c r="B1063" s="3" t="str">
        <f t="shared" si="23"/>
        <v>Emailing Abilify 960 mg fragments
FR-AM2-2400044</v>
      </c>
      <c r="C1063" s="3" t="str">
        <f>HYPERLINK("https://otsuka-europe-crm.veevavault.com/ui/#object/sent_email__v/VBL00000000U389", "SE-001394825")</f>
        <v>SE-001394825</v>
      </c>
      <c r="D1063" s="4" t="s">
        <v>11</v>
      </c>
      <c r="E1063" s="5">
        <v>0</v>
      </c>
      <c r="F1063" s="5">
        <v>0</v>
      </c>
      <c r="G1063" s="5">
        <v>0</v>
      </c>
      <c r="H1063" s="4" t="s">
        <v>11</v>
      </c>
      <c r="I1063" s="5">
        <v>0</v>
      </c>
      <c r="J1063" s="4">
        <v>45994.572569444441</v>
      </c>
    </row>
    <row r="1064" spans="1:10" x14ac:dyDescent="0.2">
      <c r="A1064" s="2" t="s">
        <v>10</v>
      </c>
      <c r="B1064" s="3" t="str">
        <f t="shared" si="23"/>
        <v>Emailing Abilify 960 mg fragments
FR-AM2-2400044</v>
      </c>
      <c r="C1064" s="3" t="str">
        <f>HYPERLINK("https://otsuka-europe-crm.veevavault.com/ui/#object/sent_email__v/VBL00000000V074", "SE-001394848")</f>
        <v>SE-001394848</v>
      </c>
      <c r="D1064" s="4" t="s">
        <v>11</v>
      </c>
      <c r="E1064" s="5">
        <v>0</v>
      </c>
      <c r="F1064" s="5">
        <v>0</v>
      </c>
      <c r="G1064" s="5">
        <v>0</v>
      </c>
      <c r="H1064" s="4" t="s">
        <v>11</v>
      </c>
      <c r="I1064" s="5">
        <v>0</v>
      </c>
      <c r="J1064" s="4">
        <v>45994.588067129633</v>
      </c>
    </row>
    <row r="1065" spans="1:10" x14ac:dyDescent="0.2">
      <c r="A1065" s="2" t="s">
        <v>10</v>
      </c>
      <c r="B1065" s="3" t="str">
        <f t="shared" si="23"/>
        <v>Emailing Abilify 960 mg fragments
FR-AM2-2400044</v>
      </c>
      <c r="C1065" s="3" t="str">
        <f>HYPERLINK("https://otsuka-europe-crm.veevavault.com/ui/#object/sent_email__v/VBL00000000V076", "SE-001394851")</f>
        <v>SE-001394851</v>
      </c>
      <c r="D1065" s="4">
        <v>46005.390347222223</v>
      </c>
      <c r="E1065" s="5">
        <v>1</v>
      </c>
      <c r="F1065" s="5">
        <v>1</v>
      </c>
      <c r="G1065" s="5">
        <v>0</v>
      </c>
      <c r="H1065" s="4" t="s">
        <v>11</v>
      </c>
      <c r="I1065" s="5">
        <v>0</v>
      </c>
      <c r="J1065" s="4">
        <v>45994.58934027778</v>
      </c>
    </row>
    <row r="1066" spans="1:10" x14ac:dyDescent="0.2">
      <c r="A1066" s="2" t="s">
        <v>10</v>
      </c>
      <c r="B1066" s="3" t="str">
        <f t="shared" si="23"/>
        <v>Emailing Abilify 960 mg fragments
FR-AM2-2400044</v>
      </c>
      <c r="C1066" s="3" t="str">
        <f>HYPERLINK("https://otsuka-europe-crm.veevavault.com/ui/#object/sent_email__v/VBL00000000U408", "SE-001394853")</f>
        <v>SE-001394853</v>
      </c>
      <c r="D1066" s="4" t="s">
        <v>11</v>
      </c>
      <c r="E1066" s="5">
        <v>0</v>
      </c>
      <c r="F1066" s="5">
        <v>0</v>
      </c>
      <c r="G1066" s="5">
        <v>0</v>
      </c>
      <c r="H1066" s="4" t="s">
        <v>11</v>
      </c>
      <c r="I1066" s="5">
        <v>0</v>
      </c>
      <c r="J1066" s="4">
        <v>45994.591099537036</v>
      </c>
    </row>
    <row r="1067" spans="1:10" x14ac:dyDescent="0.2">
      <c r="A1067" s="2" t="s">
        <v>10</v>
      </c>
      <c r="B1067" s="3" t="str">
        <f t="shared" si="23"/>
        <v>Emailing Abilify 960 mg fragments
FR-AM2-2400044</v>
      </c>
      <c r="C1067" s="3" t="str">
        <f>HYPERLINK("https://otsuka-europe-crm.veevavault.com/ui/#object/sent_email__v/VBL00000000V148", "SE-001395006")</f>
        <v>SE-001395006</v>
      </c>
      <c r="D1067" s="4">
        <v>45995.250150462962</v>
      </c>
      <c r="E1067" s="5">
        <v>1</v>
      </c>
      <c r="F1067" s="5">
        <v>1</v>
      </c>
      <c r="G1067" s="5">
        <v>0</v>
      </c>
      <c r="H1067" s="4" t="s">
        <v>11</v>
      </c>
      <c r="I1067" s="5">
        <v>0</v>
      </c>
      <c r="J1067" s="4">
        <v>45995.237546296295</v>
      </c>
    </row>
    <row r="1068" spans="1:10" x14ac:dyDescent="0.2">
      <c r="A1068" s="2" t="s">
        <v>10</v>
      </c>
      <c r="B1068" s="3" t="str">
        <f t="shared" si="23"/>
        <v>Emailing Abilify 960 mg fragments
FR-AM2-2400044</v>
      </c>
      <c r="C1068" s="3" t="str">
        <f>HYPERLINK("https://otsuka-europe-crm.veevavault.com/ui/#object/sent_email__v/VBL00000000V150", "SE-001395008")</f>
        <v>SE-001395008</v>
      </c>
      <c r="D1068" s="4">
        <v>46013.322025462963</v>
      </c>
      <c r="E1068" s="5">
        <v>1</v>
      </c>
      <c r="F1068" s="5">
        <v>1</v>
      </c>
      <c r="G1068" s="5">
        <v>0</v>
      </c>
      <c r="H1068" s="4" t="s">
        <v>11</v>
      </c>
      <c r="I1068" s="5">
        <v>0</v>
      </c>
      <c r="J1068" s="4">
        <v>45995.237638888888</v>
      </c>
    </row>
    <row r="1069" spans="1:10" x14ac:dyDescent="0.2">
      <c r="A1069" s="2" t="s">
        <v>10</v>
      </c>
      <c r="B1069" s="3" t="str">
        <f t="shared" si="23"/>
        <v>Emailing Abilify 960 mg fragments
FR-AM2-2400044</v>
      </c>
      <c r="C1069" s="3" t="str">
        <f>HYPERLINK("https://otsuka-europe-crm.veevavault.com/ui/#object/sent_email__v/VBL00000000U491", "SE-001395009")</f>
        <v>SE-001395009</v>
      </c>
      <c r="D1069" s="4">
        <v>45996.279699074075</v>
      </c>
      <c r="E1069" s="5">
        <v>1</v>
      </c>
      <c r="F1069" s="5">
        <v>3</v>
      </c>
      <c r="G1069" s="5">
        <v>0</v>
      </c>
      <c r="H1069" s="4" t="s">
        <v>11</v>
      </c>
      <c r="I1069" s="5">
        <v>0</v>
      </c>
      <c r="J1069" s="4">
        <v>45995.237685185188</v>
      </c>
    </row>
    <row r="1070" spans="1:10" x14ac:dyDescent="0.2">
      <c r="A1070" s="2" t="s">
        <v>10</v>
      </c>
      <c r="B1070" s="3" t="str">
        <f t="shared" si="23"/>
        <v>Emailing Abilify 960 mg fragments
FR-AM2-2400044</v>
      </c>
      <c r="C1070" s="3" t="str">
        <f>HYPERLINK("https://otsuka-europe-crm.veevavault.com/ui/#object/sent_email__v/VBL00000000V151", "SE-001395010")</f>
        <v>SE-001395010</v>
      </c>
      <c r="D1070" s="4">
        <v>45996.366423611114</v>
      </c>
      <c r="E1070" s="5">
        <v>1</v>
      </c>
      <c r="F1070" s="5">
        <v>1</v>
      </c>
      <c r="G1070" s="5">
        <v>0</v>
      </c>
      <c r="H1070" s="4" t="s">
        <v>11</v>
      </c>
      <c r="I1070" s="5">
        <v>0</v>
      </c>
      <c r="J1070" s="4">
        <v>45995.23773148148</v>
      </c>
    </row>
    <row r="1071" spans="1:10" x14ac:dyDescent="0.2">
      <c r="A1071" s="2" t="s">
        <v>10</v>
      </c>
      <c r="B1071" s="3" t="str">
        <f t="shared" ref="B1071:B1100" si="24">HYPERLINK("https://otsuka-europe-crm.veevavault.com/ui/#object/approved_document__v/V5OZ025E82OV85X", "Emailing Abilify 960 mg fragments
FR-AM2-2400044")</f>
        <v>Emailing Abilify 960 mg fragments
FR-AM2-2400044</v>
      </c>
      <c r="C1071" s="3" t="str">
        <f>HYPERLINK("https://otsuka-europe-crm.veevavault.com/ui/#object/sent_email__v/VBL00000000U492", "SE-001395012")</f>
        <v>SE-001395012</v>
      </c>
      <c r="D1071" s="4" t="s">
        <v>11</v>
      </c>
      <c r="E1071" s="5">
        <v>0</v>
      </c>
      <c r="F1071" s="5">
        <v>0</v>
      </c>
      <c r="G1071" s="5">
        <v>0</v>
      </c>
      <c r="H1071" s="4" t="s">
        <v>11</v>
      </c>
      <c r="I1071" s="5">
        <v>0</v>
      </c>
      <c r="J1071" s="4">
        <v>45995.237835648149</v>
      </c>
    </row>
    <row r="1072" spans="1:10" x14ac:dyDescent="0.2">
      <c r="A1072" s="2" t="s">
        <v>10</v>
      </c>
      <c r="B1072" s="3" t="str">
        <f t="shared" si="24"/>
        <v>Emailing Abilify 960 mg fragments
FR-AM2-2400044</v>
      </c>
      <c r="C1072" s="3" t="str">
        <f>HYPERLINK("https://otsuka-europe-crm.veevavault.com/ui/#object/sent_email__v/VBL00000000U788", "SE-001395426")</f>
        <v>SE-001395426</v>
      </c>
      <c r="D1072" s="4" t="s">
        <v>11</v>
      </c>
      <c r="E1072" s="5">
        <v>0</v>
      </c>
      <c r="F1072" s="5">
        <v>0</v>
      </c>
      <c r="G1072" s="5">
        <v>0</v>
      </c>
      <c r="H1072" s="4" t="s">
        <v>11</v>
      </c>
      <c r="I1072" s="5">
        <v>0</v>
      </c>
      <c r="J1072" s="4">
        <v>45995.568090277775</v>
      </c>
    </row>
    <row r="1073" spans="1:10" x14ac:dyDescent="0.2">
      <c r="A1073" s="2" t="s">
        <v>10</v>
      </c>
      <c r="B1073" s="3" t="str">
        <f t="shared" si="24"/>
        <v>Emailing Abilify 960 mg fragments
FR-AM2-2400044</v>
      </c>
      <c r="C1073" s="3" t="str">
        <f>HYPERLINK("https://otsuka-europe-crm.veevavault.com/ui/#object/sent_email__v/VBL00000000V273", "SE-001395432")</f>
        <v>SE-001395432</v>
      </c>
      <c r="D1073" s="4" t="s">
        <v>11</v>
      </c>
      <c r="E1073" s="5">
        <v>0</v>
      </c>
      <c r="F1073" s="5">
        <v>0</v>
      </c>
      <c r="G1073" s="5">
        <v>0</v>
      </c>
      <c r="H1073" s="4" t="s">
        <v>11</v>
      </c>
      <c r="I1073" s="5">
        <v>0</v>
      </c>
      <c r="J1073" s="4">
        <v>45995.570763888885</v>
      </c>
    </row>
    <row r="1074" spans="1:10" x14ac:dyDescent="0.2">
      <c r="A1074" s="2" t="s">
        <v>10</v>
      </c>
      <c r="B1074" s="3" t="str">
        <f t="shared" si="24"/>
        <v>Emailing Abilify 960 mg fragments
FR-AM2-2400044</v>
      </c>
      <c r="C1074" s="3" t="str">
        <f>HYPERLINK("https://otsuka-europe-crm.veevavault.com/ui/#object/sent_email__v/VBL00000000W230", "SE-001395997")</f>
        <v>SE-001395997</v>
      </c>
      <c r="D1074" s="4">
        <v>46000.815844907411</v>
      </c>
      <c r="E1074" s="5">
        <v>1</v>
      </c>
      <c r="F1074" s="5">
        <v>6</v>
      </c>
      <c r="G1074" s="5">
        <v>1</v>
      </c>
      <c r="H1074" s="4">
        <v>46001.563275462962</v>
      </c>
      <c r="I1074" s="5">
        <v>12</v>
      </c>
      <c r="J1074" s="4">
        <v>46000.672268518516</v>
      </c>
    </row>
    <row r="1075" spans="1:10" x14ac:dyDescent="0.2">
      <c r="A1075" s="2" t="s">
        <v>10</v>
      </c>
      <c r="B1075" s="3" t="str">
        <f t="shared" si="24"/>
        <v>Emailing Abilify 960 mg fragments
FR-AM2-2400044</v>
      </c>
      <c r="C1075" s="3" t="str">
        <f>HYPERLINK("https://otsuka-europe-crm.veevavault.com/ui/#object/sent_email__v/VBL00000000W303", "SE-001396117")</f>
        <v>SE-001396117</v>
      </c>
      <c r="D1075" s="4" t="s">
        <v>11</v>
      </c>
      <c r="E1075" s="5">
        <v>0</v>
      </c>
      <c r="F1075" s="5">
        <v>0</v>
      </c>
      <c r="G1075" s="5">
        <v>0</v>
      </c>
      <c r="H1075" s="4" t="s">
        <v>11</v>
      </c>
      <c r="I1075" s="5">
        <v>0</v>
      </c>
      <c r="J1075" s="4">
        <v>46001.450740740744</v>
      </c>
    </row>
    <row r="1076" spans="1:10" x14ac:dyDescent="0.2">
      <c r="A1076" s="2" t="s">
        <v>10</v>
      </c>
      <c r="B1076" s="3" t="str">
        <f t="shared" si="24"/>
        <v>Emailing Abilify 960 mg fragments
FR-AM2-2400044</v>
      </c>
      <c r="C1076" s="3" t="str">
        <f>HYPERLINK("https://otsuka-europe-crm.veevavault.com/ui/#object/sent_email__v/VBL00000000X362", "SE-001396153")</f>
        <v>SE-001396153</v>
      </c>
      <c r="D1076" s="4">
        <v>46001.699884259258</v>
      </c>
      <c r="E1076" s="5">
        <v>1</v>
      </c>
      <c r="F1076" s="5">
        <v>1</v>
      </c>
      <c r="G1076" s="5">
        <v>0</v>
      </c>
      <c r="H1076" s="4" t="s">
        <v>11</v>
      </c>
      <c r="I1076" s="5">
        <v>0</v>
      </c>
      <c r="J1076" s="4">
        <v>46001.626550925925</v>
      </c>
    </row>
    <row r="1077" spans="1:10" x14ac:dyDescent="0.2">
      <c r="A1077" s="2" t="s">
        <v>10</v>
      </c>
      <c r="B1077" s="3" t="str">
        <f t="shared" si="24"/>
        <v>Emailing Abilify 960 mg fragments
FR-AM2-2400044</v>
      </c>
      <c r="C1077" s="3" t="str">
        <f>HYPERLINK("https://otsuka-europe-crm.veevavault.com/ui/#object/sent_email__v/VBL000000011023", "SE-001396645")</f>
        <v>SE-001396645</v>
      </c>
      <c r="D1077" s="4">
        <v>46027.041122685187</v>
      </c>
      <c r="E1077" s="5">
        <v>1</v>
      </c>
      <c r="F1077" s="5">
        <v>2</v>
      </c>
      <c r="G1077" s="5">
        <v>0</v>
      </c>
      <c r="H1077" s="4" t="s">
        <v>11</v>
      </c>
      <c r="I1077" s="5">
        <v>0</v>
      </c>
      <c r="J1077" s="4">
        <v>46006.419386574074</v>
      </c>
    </row>
    <row r="1078" spans="1:10" x14ac:dyDescent="0.2">
      <c r="A1078" s="2" t="s">
        <v>10</v>
      </c>
      <c r="B1078" s="3" t="str">
        <f t="shared" si="24"/>
        <v>Emailing Abilify 960 mg fragments
FR-AM2-2400044</v>
      </c>
      <c r="C1078" s="3" t="str">
        <f>HYPERLINK("https://otsuka-europe-crm.veevavault.com/ui/#object/sent_email__v/VBL000000011053", "SE-001396687")</f>
        <v>SE-001396687</v>
      </c>
      <c r="D1078" s="4" t="s">
        <v>11</v>
      </c>
      <c r="E1078" s="5">
        <v>0</v>
      </c>
      <c r="F1078" s="5">
        <v>0</v>
      </c>
      <c r="G1078" s="5">
        <v>0</v>
      </c>
      <c r="H1078" s="4" t="s">
        <v>11</v>
      </c>
      <c r="I1078" s="5">
        <v>0</v>
      </c>
      <c r="J1078" s="4">
        <v>46006.529189814813</v>
      </c>
    </row>
    <row r="1079" spans="1:10" x14ac:dyDescent="0.2">
      <c r="A1079" s="2" t="s">
        <v>10</v>
      </c>
      <c r="B1079" s="3" t="str">
        <f t="shared" si="24"/>
        <v>Emailing Abilify 960 mg fragments
FR-AM2-2400044</v>
      </c>
      <c r="C1079" s="3" t="str">
        <f>HYPERLINK("https://otsuka-europe-crm.veevavault.com/ui/#object/sent_email__v/VBL000000010119", "SE-001396958")</f>
        <v>SE-001396958</v>
      </c>
      <c r="D1079" s="4">
        <v>46014.985694444447</v>
      </c>
      <c r="E1079" s="5">
        <v>1</v>
      </c>
      <c r="F1079" s="5">
        <v>2</v>
      </c>
      <c r="G1079" s="5">
        <v>0</v>
      </c>
      <c r="H1079" s="4" t="s">
        <v>11</v>
      </c>
      <c r="I1079" s="5">
        <v>0</v>
      </c>
      <c r="J1079" s="4">
        <v>46007.507268518515</v>
      </c>
    </row>
    <row r="1080" spans="1:10" x14ac:dyDescent="0.2">
      <c r="A1080" s="2" t="s">
        <v>10</v>
      </c>
      <c r="B1080" s="3" t="str">
        <f t="shared" si="24"/>
        <v>Emailing Abilify 960 mg fragments
FR-AM2-2400044</v>
      </c>
      <c r="C1080" s="3" t="str">
        <f>HYPERLINK("https://otsuka-europe-crm.veevavault.com/ui/#object/sent_email__v/VBL000000011291", "SE-001397047")</f>
        <v>SE-001397047</v>
      </c>
      <c r="D1080" s="4" t="s">
        <v>11</v>
      </c>
      <c r="E1080" s="5">
        <v>0</v>
      </c>
      <c r="F1080" s="5">
        <v>0</v>
      </c>
      <c r="G1080" s="5">
        <v>0</v>
      </c>
      <c r="H1080" s="4" t="s">
        <v>11</v>
      </c>
      <c r="I1080" s="5">
        <v>0</v>
      </c>
      <c r="J1080" s="4">
        <v>46008.408009259256</v>
      </c>
    </row>
    <row r="1081" spans="1:10" x14ac:dyDescent="0.2">
      <c r="A1081" s="2" t="s">
        <v>10</v>
      </c>
      <c r="B1081" s="3" t="str">
        <f t="shared" si="24"/>
        <v>Emailing Abilify 960 mg fragments
FR-AM2-2400044</v>
      </c>
      <c r="C1081" s="3" t="str">
        <f>HYPERLINK("https://otsuka-europe-crm.veevavault.com/ui/#object/sent_email__v/VBL000000010194", "SE-001397177")</f>
        <v>SE-001397177</v>
      </c>
      <c r="D1081" s="4">
        <v>46009.771631944444</v>
      </c>
      <c r="E1081" s="5">
        <v>1</v>
      </c>
      <c r="F1081" s="5">
        <v>3</v>
      </c>
      <c r="G1081" s="5">
        <v>0</v>
      </c>
      <c r="H1081" s="4" t="s">
        <v>11</v>
      </c>
      <c r="I1081" s="5">
        <v>0</v>
      </c>
      <c r="J1081" s="4">
        <v>46008.441030092596</v>
      </c>
    </row>
    <row r="1082" spans="1:10" x14ac:dyDescent="0.2">
      <c r="A1082" s="2" t="s">
        <v>10</v>
      </c>
      <c r="B1082" s="3" t="str">
        <f t="shared" si="24"/>
        <v>Emailing Abilify 960 mg fragments
FR-AM2-2400044</v>
      </c>
      <c r="C1082" s="3" t="str">
        <f>HYPERLINK("https://otsuka-europe-crm.veevavault.com/ui/#object/sent_email__v/VBL000000011486", "SE-001397276")</f>
        <v>SE-001397276</v>
      </c>
      <c r="D1082" s="4" t="s">
        <v>11</v>
      </c>
      <c r="E1082" s="5">
        <v>0</v>
      </c>
      <c r="F1082" s="5">
        <v>0</v>
      </c>
      <c r="G1082" s="5">
        <v>0</v>
      </c>
      <c r="H1082" s="4" t="s">
        <v>11</v>
      </c>
      <c r="I1082" s="5">
        <v>0</v>
      </c>
      <c r="J1082" s="4">
        <v>46008.441527777781</v>
      </c>
    </row>
    <row r="1083" spans="1:10" x14ac:dyDescent="0.2">
      <c r="A1083" s="2" t="s">
        <v>10</v>
      </c>
      <c r="B1083" s="3" t="str">
        <f t="shared" si="24"/>
        <v>Emailing Abilify 960 mg fragments
FR-AM2-2400044</v>
      </c>
      <c r="C1083" s="3" t="str">
        <f>HYPERLINK("https://otsuka-europe-crm.veevavault.com/ui/#object/sent_email__v/VBL000000012758", "SE-001399411")</f>
        <v>SE-001399411</v>
      </c>
      <c r="D1083" s="4" t="s">
        <v>11</v>
      </c>
      <c r="E1083" s="5">
        <v>0</v>
      </c>
      <c r="F1083" s="5">
        <v>0</v>
      </c>
      <c r="G1083" s="5">
        <v>0</v>
      </c>
      <c r="H1083" s="4" t="s">
        <v>11</v>
      </c>
      <c r="I1083" s="5">
        <v>0</v>
      </c>
      <c r="J1083" s="4">
        <v>46030.384305555555</v>
      </c>
    </row>
    <row r="1084" spans="1:10" x14ac:dyDescent="0.2">
      <c r="A1084" s="2" t="s">
        <v>10</v>
      </c>
      <c r="B1084" s="3" t="str">
        <f t="shared" si="24"/>
        <v>Emailing Abilify 960 mg fragments
FR-AM2-2400044</v>
      </c>
      <c r="C1084" s="3" t="str">
        <f>HYPERLINK("https://otsuka-europe-crm.veevavault.com/ui/#object/sent_email__v/VBL000000012815", "SE-001399557")</f>
        <v>SE-001399557</v>
      </c>
      <c r="D1084" s="4">
        <v>46035.456226851849</v>
      </c>
      <c r="E1084" s="5">
        <v>1</v>
      </c>
      <c r="F1084" s="5">
        <v>1</v>
      </c>
      <c r="G1084" s="5">
        <v>0</v>
      </c>
      <c r="H1084" s="4" t="s">
        <v>11</v>
      </c>
      <c r="I1084" s="5">
        <v>0</v>
      </c>
      <c r="J1084" s="4">
        <v>46031.671493055554</v>
      </c>
    </row>
    <row r="1085" spans="1:10" x14ac:dyDescent="0.2">
      <c r="A1085" s="2" t="s">
        <v>10</v>
      </c>
      <c r="B1085" s="3" t="str">
        <f t="shared" si="24"/>
        <v>Emailing Abilify 960 mg fragments
FR-AM2-2400044</v>
      </c>
      <c r="C1085" s="3" t="str">
        <f>HYPERLINK("https://otsuka-europe-crm.veevavault.com/ui/#object/sent_email__v/VBL000000014152", "SE-001399894")</f>
        <v>SE-001399894</v>
      </c>
      <c r="D1085" s="4">
        <v>46041.776585648149</v>
      </c>
      <c r="E1085" s="5">
        <v>1</v>
      </c>
      <c r="F1085" s="5">
        <v>2</v>
      </c>
      <c r="G1085" s="5">
        <v>1</v>
      </c>
      <c r="H1085" s="4">
        <v>46041.77380787037</v>
      </c>
      <c r="I1085" s="5">
        <v>1</v>
      </c>
      <c r="J1085" s="4">
        <v>46037.393472222226</v>
      </c>
    </row>
    <row r="1086" spans="1:10" x14ac:dyDescent="0.2">
      <c r="A1086" s="2" t="s">
        <v>10</v>
      </c>
      <c r="B1086" s="3" t="str">
        <f t="shared" si="24"/>
        <v>Emailing Abilify 960 mg fragments
FR-AM2-2400044</v>
      </c>
      <c r="C1086" s="3" t="str">
        <f>HYPERLINK("https://otsuka-europe-crm.veevavault.com/ui/#object/sent_email__v/VBL000000014181", "SE-001399941")</f>
        <v>SE-001399941</v>
      </c>
      <c r="D1086" s="4">
        <v>46037.576967592591</v>
      </c>
      <c r="E1086" s="5">
        <v>1</v>
      </c>
      <c r="F1086" s="5">
        <v>1</v>
      </c>
      <c r="G1086" s="5">
        <v>0</v>
      </c>
      <c r="H1086" s="4" t="s">
        <v>11</v>
      </c>
      <c r="I1086" s="5">
        <v>0</v>
      </c>
      <c r="J1086" s="4">
        <v>46037.576493055552</v>
      </c>
    </row>
    <row r="1087" spans="1:10" x14ac:dyDescent="0.2">
      <c r="A1087" s="2" t="s">
        <v>10</v>
      </c>
      <c r="B1087" s="3" t="str">
        <f t="shared" si="24"/>
        <v>Emailing Abilify 960 mg fragments
FR-AM2-2400044</v>
      </c>
      <c r="C1087" s="3" t="str">
        <f>HYPERLINK("https://otsuka-europe-crm.veevavault.com/ui/#object/sent_email__v/VBL000000016048", "SE-001400093")</f>
        <v>SE-001400093</v>
      </c>
      <c r="D1087" s="4">
        <v>46039.368530092594</v>
      </c>
      <c r="E1087" s="5">
        <v>1</v>
      </c>
      <c r="F1087" s="5">
        <v>4</v>
      </c>
      <c r="G1087" s="5">
        <v>0</v>
      </c>
      <c r="H1087" s="4" t="s">
        <v>11</v>
      </c>
      <c r="I1087" s="5">
        <v>0</v>
      </c>
      <c r="J1087" s="4">
        <v>46038.445023148146</v>
      </c>
    </row>
    <row r="1088" spans="1:10" x14ac:dyDescent="0.2">
      <c r="A1088" s="2" t="s">
        <v>10</v>
      </c>
      <c r="B1088" s="3" t="str">
        <f t="shared" si="24"/>
        <v>Emailing Abilify 960 mg fragments
FR-AM2-2400044</v>
      </c>
      <c r="C1088" s="3" t="str">
        <f>HYPERLINK("https://otsuka-europe-crm.veevavault.com/ui/#object/sent_email__v/VBL000000015067", "SE-001400144")</f>
        <v>SE-001400144</v>
      </c>
      <c r="D1088" s="4" t="s">
        <v>11</v>
      </c>
      <c r="E1088" s="5">
        <v>0</v>
      </c>
      <c r="F1088" s="5">
        <v>0</v>
      </c>
      <c r="G1088" s="5">
        <v>0</v>
      </c>
      <c r="H1088" s="4" t="s">
        <v>11</v>
      </c>
      <c r="I1088" s="5">
        <v>0</v>
      </c>
      <c r="J1088" s="4">
        <v>46038.472233796296</v>
      </c>
    </row>
    <row r="1089" spans="1:10" x14ac:dyDescent="0.2">
      <c r="A1089" s="2" t="s">
        <v>10</v>
      </c>
      <c r="B1089" s="3" t="str">
        <f t="shared" si="24"/>
        <v>Emailing Abilify 960 mg fragments
FR-AM2-2400044</v>
      </c>
      <c r="C1089" s="3" t="str">
        <f>HYPERLINK("https://otsuka-europe-crm.veevavault.com/ui/#object/sent_email__v/VBL000000015070", "SE-001400152")</f>
        <v>SE-001400152</v>
      </c>
      <c r="D1089" s="4">
        <v>46041.541909722226</v>
      </c>
      <c r="E1089" s="5">
        <v>1</v>
      </c>
      <c r="F1089" s="5">
        <v>1</v>
      </c>
      <c r="G1089" s="5">
        <v>0</v>
      </c>
      <c r="H1089" s="4" t="s">
        <v>11</v>
      </c>
      <c r="I1089" s="5">
        <v>0</v>
      </c>
      <c r="J1089" s="4">
        <v>46038.535694444443</v>
      </c>
    </row>
    <row r="1090" spans="1:10" x14ac:dyDescent="0.2">
      <c r="A1090" s="2" t="s">
        <v>10</v>
      </c>
      <c r="B1090" s="3" t="str">
        <f t="shared" si="24"/>
        <v>Emailing Abilify 960 mg fragments
FR-AM2-2400044</v>
      </c>
      <c r="C1090" s="3" t="str">
        <f>HYPERLINK("https://otsuka-europe-crm.veevavault.com/ui/#object/sent_email__v/VBL000000016069", "SE-001400153")</f>
        <v>SE-001400153</v>
      </c>
      <c r="D1090" s="4">
        <v>46038.536585648151</v>
      </c>
      <c r="E1090" s="5">
        <v>1</v>
      </c>
      <c r="F1090" s="5">
        <v>1</v>
      </c>
      <c r="G1090" s="5">
        <v>1</v>
      </c>
      <c r="H1090" s="4">
        <v>46038.536585648151</v>
      </c>
      <c r="I1090" s="5">
        <v>2</v>
      </c>
      <c r="J1090" s="4">
        <v>46038.536458333336</v>
      </c>
    </row>
    <row r="1091" spans="1:10" x14ac:dyDescent="0.2">
      <c r="A1091" s="2" t="s">
        <v>10</v>
      </c>
      <c r="B1091" s="3" t="str">
        <f t="shared" si="24"/>
        <v>Emailing Abilify 960 mg fragments
FR-AM2-2400044</v>
      </c>
      <c r="C1091" s="3" t="str">
        <f>HYPERLINK("https://otsuka-europe-crm.veevavault.com/ui/#object/sent_email__v/VBL000000015101", "SE-001400202")</f>
        <v>SE-001400202</v>
      </c>
      <c r="D1091" s="4" t="s">
        <v>11</v>
      </c>
      <c r="E1091" s="5">
        <v>0</v>
      </c>
      <c r="F1091" s="5">
        <v>0</v>
      </c>
      <c r="G1091" s="5">
        <v>0</v>
      </c>
      <c r="H1091" s="4" t="s">
        <v>11</v>
      </c>
      <c r="I1091" s="5">
        <v>0</v>
      </c>
      <c r="J1091" s="4">
        <v>46041.45412037037</v>
      </c>
    </row>
    <row r="1092" spans="1:10" x14ac:dyDescent="0.2">
      <c r="A1092" s="2" t="s">
        <v>10</v>
      </c>
      <c r="B1092" s="3" t="str">
        <f t="shared" si="24"/>
        <v>Emailing Abilify 960 mg fragments
FR-AM2-2400044</v>
      </c>
      <c r="C1092" s="3" t="str">
        <f>HYPERLINK("https://otsuka-europe-crm.veevavault.com/ui/#object/sent_email__v/VBL000000016349", "SE-001400578")</f>
        <v>SE-001400578</v>
      </c>
      <c r="D1092" s="4" t="s">
        <v>11</v>
      </c>
      <c r="E1092" s="5">
        <v>0</v>
      </c>
      <c r="F1092" s="5">
        <v>0</v>
      </c>
      <c r="G1092" s="5">
        <v>0</v>
      </c>
      <c r="H1092" s="4" t="s">
        <v>11</v>
      </c>
      <c r="I1092" s="5">
        <v>0</v>
      </c>
      <c r="J1092" s="4">
        <v>46043.429270833331</v>
      </c>
    </row>
    <row r="1093" spans="1:10" x14ac:dyDescent="0.2">
      <c r="A1093" s="2" t="s">
        <v>10</v>
      </c>
      <c r="B1093" s="3" t="str">
        <f t="shared" si="24"/>
        <v>Emailing Abilify 960 mg fragments
FR-AM2-2400044</v>
      </c>
      <c r="C1093" s="3" t="str">
        <f>HYPERLINK("https://otsuka-europe-crm.veevavault.com/ui/#object/sent_email__v/VBL000000016369", "SE-001400626")</f>
        <v>SE-001400626</v>
      </c>
      <c r="D1093" s="4" t="s">
        <v>11</v>
      </c>
      <c r="E1093" s="5">
        <v>0</v>
      </c>
      <c r="F1093" s="5">
        <v>0</v>
      </c>
      <c r="G1093" s="5">
        <v>0</v>
      </c>
      <c r="H1093" s="4" t="s">
        <v>11</v>
      </c>
      <c r="I1093" s="5">
        <v>0</v>
      </c>
      <c r="J1093" s="4">
        <v>46043.421886574077</v>
      </c>
    </row>
    <row r="1094" spans="1:10" x14ac:dyDescent="0.2">
      <c r="A1094" s="2" t="s">
        <v>10</v>
      </c>
      <c r="B1094" s="3" t="str">
        <f t="shared" si="24"/>
        <v>Emailing Abilify 960 mg fragments
FR-AM2-2400044</v>
      </c>
      <c r="C1094" s="3" t="str">
        <f>HYPERLINK("https://otsuka-europe-crm.veevavault.com/ui/#object/sent_email__v/VBL000000016382", "SE-001400649")</f>
        <v>SE-001400649</v>
      </c>
      <c r="D1094" s="4">
        <v>46052.994571759256</v>
      </c>
      <c r="E1094" s="5">
        <v>1</v>
      </c>
      <c r="F1094" s="5">
        <v>2</v>
      </c>
      <c r="G1094" s="5">
        <v>0</v>
      </c>
      <c r="H1094" s="4" t="s">
        <v>11</v>
      </c>
      <c r="I1094" s="5">
        <v>0</v>
      </c>
      <c r="J1094" s="4">
        <v>46043.501087962963</v>
      </c>
    </row>
    <row r="1095" spans="1:10" x14ac:dyDescent="0.2">
      <c r="A1095" s="2" t="s">
        <v>10</v>
      </c>
      <c r="B1095" s="3" t="str">
        <f t="shared" si="24"/>
        <v>Emailing Abilify 960 mg fragments
FR-AM2-2400044</v>
      </c>
      <c r="C1095" s="3" t="str">
        <f>HYPERLINK("https://otsuka-europe-crm.veevavault.com/ui/#object/sent_email__v/VBL000000015331", "SE-001400871")</f>
        <v>SE-001400871</v>
      </c>
      <c r="D1095" s="4">
        <v>46045.567962962959</v>
      </c>
      <c r="E1095" s="5">
        <v>1</v>
      </c>
      <c r="F1095" s="5">
        <v>2</v>
      </c>
      <c r="G1095" s="5">
        <v>1</v>
      </c>
      <c r="H1095" s="4">
        <v>46045.569247685184</v>
      </c>
      <c r="I1095" s="5">
        <v>3</v>
      </c>
      <c r="J1095" s="4">
        <v>46045.562465277777</v>
      </c>
    </row>
    <row r="1096" spans="1:10" x14ac:dyDescent="0.2">
      <c r="A1096" s="2" t="s">
        <v>10</v>
      </c>
      <c r="B1096" s="3" t="str">
        <f t="shared" si="24"/>
        <v>Emailing Abilify 960 mg fragments
FR-AM2-2400044</v>
      </c>
      <c r="C1096" s="3" t="str">
        <f>HYPERLINK("https://otsuka-europe-crm.veevavault.com/ui/#object/sent_email__v/VBL000000017053", "SE-001402017")</f>
        <v>SE-001402017</v>
      </c>
      <c r="D1096" s="4" t="s">
        <v>11</v>
      </c>
      <c r="E1096" s="5">
        <v>0</v>
      </c>
      <c r="F1096" s="5">
        <v>0</v>
      </c>
      <c r="G1096" s="5">
        <v>0</v>
      </c>
      <c r="H1096" s="4" t="s">
        <v>11</v>
      </c>
      <c r="I1096" s="5">
        <v>0</v>
      </c>
      <c r="J1096" s="4">
        <v>46049.716793981483</v>
      </c>
    </row>
    <row r="1097" spans="1:10" x14ac:dyDescent="0.2">
      <c r="A1097" s="2" t="s">
        <v>10</v>
      </c>
      <c r="B1097" s="3" t="str">
        <f t="shared" si="24"/>
        <v>Emailing Abilify 960 mg fragments
FR-AM2-2400044</v>
      </c>
      <c r="C1097" s="3" t="str">
        <f>HYPERLINK("https://otsuka-europe-crm.veevavault.com/ui/#object/sent_email__v/VBL000000017173", "SE-001402232")</f>
        <v>SE-001402232</v>
      </c>
      <c r="D1097" s="4">
        <v>46051.655972222223</v>
      </c>
      <c r="E1097" s="5">
        <v>1</v>
      </c>
      <c r="F1097" s="5">
        <v>1</v>
      </c>
      <c r="G1097" s="5">
        <v>1</v>
      </c>
      <c r="H1097" s="4">
        <v>46051.655972222223</v>
      </c>
      <c r="I1097" s="5">
        <v>2</v>
      </c>
      <c r="J1097" s="4">
        <v>46051.655833333331</v>
      </c>
    </row>
    <row r="1098" spans="1:10" x14ac:dyDescent="0.2">
      <c r="A1098" s="2" t="s">
        <v>10</v>
      </c>
      <c r="B1098" s="3" t="str">
        <f t="shared" si="24"/>
        <v>Emailing Abilify 960 mg fragments
FR-AM2-2400044</v>
      </c>
      <c r="C1098" s="3" t="str">
        <f>HYPERLINK("https://otsuka-europe-crm.veevavault.com/ui/#object/sent_email__v/VBL000000019034", "SE-001402304")</f>
        <v>SE-001402304</v>
      </c>
      <c r="D1098" s="4">
        <v>46052.51421296296</v>
      </c>
      <c r="E1098" s="5">
        <v>1</v>
      </c>
      <c r="F1098" s="5">
        <v>2</v>
      </c>
      <c r="G1098" s="5">
        <v>0</v>
      </c>
      <c r="H1098" s="4" t="s">
        <v>11</v>
      </c>
      <c r="I1098" s="5">
        <v>0</v>
      </c>
      <c r="J1098" s="4">
        <v>46052.513518518521</v>
      </c>
    </row>
    <row r="1099" spans="1:10" x14ac:dyDescent="0.2">
      <c r="A1099" s="2" t="s">
        <v>10</v>
      </c>
      <c r="B1099" s="3" t="str">
        <f t="shared" si="24"/>
        <v>Emailing Abilify 960 mg fragments
FR-AM2-2400044</v>
      </c>
      <c r="C1099" s="3" t="str">
        <f>HYPERLINK("https://otsuka-europe-crm.veevavault.com/ui/#object/sent_email__v/VBL000000019047", "SE-001402327")</f>
        <v>SE-001402327</v>
      </c>
      <c r="D1099" s="4" t="s">
        <v>11</v>
      </c>
      <c r="E1099" s="5">
        <v>0</v>
      </c>
      <c r="F1099" s="5">
        <v>0</v>
      </c>
      <c r="G1099" s="5">
        <v>0</v>
      </c>
      <c r="H1099" s="4" t="s">
        <v>11</v>
      </c>
      <c r="I1099" s="5">
        <v>0</v>
      </c>
      <c r="J1099" s="4">
        <v>46052.652083333334</v>
      </c>
    </row>
    <row r="1100" spans="1:10" x14ac:dyDescent="0.2">
      <c r="A1100" s="2" t="s">
        <v>10</v>
      </c>
      <c r="B1100" s="3" t="str">
        <f t="shared" si="24"/>
        <v>Emailing Abilify 960 mg fragments
FR-AM2-2400044</v>
      </c>
      <c r="C1100" s="3" t="str">
        <f>HYPERLINK("https://otsuka-europe-crm.veevavault.com/ui/#object/sent_email__v/VBL00000001A196", "SE-001402774")</f>
        <v>SE-001402774</v>
      </c>
      <c r="D1100" s="4" t="s">
        <v>11</v>
      </c>
      <c r="E1100" s="5">
        <v>0</v>
      </c>
      <c r="F1100" s="5">
        <v>0</v>
      </c>
      <c r="G1100" s="5">
        <v>0</v>
      </c>
      <c r="H1100" s="4" t="s">
        <v>11</v>
      </c>
      <c r="I1100" s="5">
        <v>0</v>
      </c>
      <c r="J1100" s="4">
        <v>46058.52753472222</v>
      </c>
    </row>
    <row r="1101" spans="1:10" x14ac:dyDescent="0.2">
      <c r="A1101" s="2" t="s">
        <v>10</v>
      </c>
      <c r="B1101" s="3" t="str">
        <f t="shared" ref="B1101:B1164" si="25">HYPERLINK("https://otsuka-europe-crm.veevavault.com/ui/#object/approved_document__v/V5OZ04ASG4FV2JY", "Emailing Brochures aidants et patients")</f>
        <v>Emailing Brochures aidants et patients</v>
      </c>
      <c r="C1101" s="3" t="str">
        <f>HYPERLINK("https://otsuka-europe-crm.veevavault.com/ui/#object/sent_email__v/VBLZ025E82GFM5D", "SE-000255385")</f>
        <v>SE-000255385</v>
      </c>
      <c r="D1101" s="4" t="s">
        <v>11</v>
      </c>
      <c r="E1101" s="5">
        <v>0</v>
      </c>
      <c r="F1101" s="5">
        <v>0</v>
      </c>
      <c r="G1101" s="5">
        <v>0</v>
      </c>
      <c r="H1101" s="4" t="s">
        <v>11</v>
      </c>
      <c r="I1101" s="5">
        <v>0</v>
      </c>
      <c r="J1101" s="4">
        <v>45904.661851851852</v>
      </c>
    </row>
    <row r="1102" spans="1:10" x14ac:dyDescent="0.2">
      <c r="A1102" s="2" t="s">
        <v>10</v>
      </c>
      <c r="B1102" s="3" t="str">
        <f t="shared" si="25"/>
        <v>Emailing Brochures aidants et patients</v>
      </c>
      <c r="C1102" s="3" t="str">
        <f>HYPERLINK("https://otsuka-europe-crm.veevavault.com/ui/#object/sent_email__v/VBLZ025E82GISI1", "SE-000255627")</f>
        <v>SE-000255627</v>
      </c>
      <c r="D1102" s="4">
        <v>45909.598495370374</v>
      </c>
      <c r="E1102" s="5">
        <v>1</v>
      </c>
      <c r="F1102" s="5">
        <v>1</v>
      </c>
      <c r="G1102" s="5">
        <v>0</v>
      </c>
      <c r="H1102" s="4" t="s">
        <v>11</v>
      </c>
      <c r="I1102" s="5">
        <v>0</v>
      </c>
      <c r="J1102" s="4">
        <v>45909.562118055554</v>
      </c>
    </row>
    <row r="1103" spans="1:10" x14ac:dyDescent="0.2">
      <c r="A1103" s="2" t="s">
        <v>10</v>
      </c>
      <c r="B1103" s="3" t="str">
        <f t="shared" si="25"/>
        <v>Emailing Brochures aidants et patients</v>
      </c>
      <c r="C1103" s="3" t="str">
        <f>HYPERLINK("https://otsuka-europe-crm.veevavault.com/ui/#object/sent_email__v/VBLZ025E82GMFFX", "SE-000266878")</f>
        <v>SE-000266878</v>
      </c>
      <c r="D1103" s="4" t="s">
        <v>11</v>
      </c>
      <c r="E1103" s="5">
        <v>0</v>
      </c>
      <c r="F1103" s="5">
        <v>0</v>
      </c>
      <c r="G1103" s="5">
        <v>0</v>
      </c>
      <c r="H1103" s="4" t="s">
        <v>11</v>
      </c>
      <c r="I1103" s="5">
        <v>0</v>
      </c>
      <c r="J1103" s="4">
        <v>45912.546446759261</v>
      </c>
    </row>
    <row r="1104" spans="1:10" x14ac:dyDescent="0.2">
      <c r="A1104" s="2" t="s">
        <v>10</v>
      </c>
      <c r="B1104" s="3" t="str">
        <f t="shared" si="25"/>
        <v>Emailing Brochures aidants et patients</v>
      </c>
      <c r="C1104" s="3" t="str">
        <f>HYPERLINK("https://otsuka-europe-crm.veevavault.com/ui/#object/sent_email__v/VBLZ025E82GOCYP", "SE-000275586")</f>
        <v>SE-000275586</v>
      </c>
      <c r="D1104" s="4" t="s">
        <v>11</v>
      </c>
      <c r="E1104" s="5">
        <v>0</v>
      </c>
      <c r="F1104" s="5">
        <v>0</v>
      </c>
      <c r="G1104" s="5">
        <v>0</v>
      </c>
      <c r="H1104" s="4" t="s">
        <v>11</v>
      </c>
      <c r="I1104" s="5">
        <v>0</v>
      </c>
      <c r="J1104" s="4">
        <v>45915.571747685186</v>
      </c>
    </row>
    <row r="1105" spans="1:10" x14ac:dyDescent="0.2">
      <c r="A1105" s="2" t="s">
        <v>10</v>
      </c>
      <c r="B1105" s="3" t="str">
        <f t="shared" si="25"/>
        <v>Emailing Brochures aidants et patients</v>
      </c>
      <c r="C1105" s="3" t="str">
        <f>HYPERLINK("https://otsuka-europe-crm.veevavault.com/ui/#object/sent_email__v/VBLZ025E82GRNY1", "SE-000275957")</f>
        <v>SE-000275957</v>
      </c>
      <c r="D1105" s="4">
        <v>45917.665844907409</v>
      </c>
      <c r="E1105" s="5">
        <v>1</v>
      </c>
      <c r="F1105" s="5">
        <v>1</v>
      </c>
      <c r="G1105" s="5">
        <v>0</v>
      </c>
      <c r="H1105" s="4" t="s">
        <v>11</v>
      </c>
      <c r="I1105" s="5">
        <v>0</v>
      </c>
      <c r="J1105" s="4">
        <v>45917.614849537036</v>
      </c>
    </row>
    <row r="1106" spans="1:10" x14ac:dyDescent="0.2">
      <c r="A1106" s="2" t="s">
        <v>10</v>
      </c>
      <c r="B1106" s="3" t="str">
        <f t="shared" si="25"/>
        <v>Emailing Brochures aidants et patients</v>
      </c>
      <c r="C1106" s="3" t="str">
        <f>HYPERLINK("https://otsuka-europe-crm.veevavault.com/ui/#object/sent_email__v/VBLZ025E82GRO0T", "SE-000275958")</f>
        <v>SE-000275958</v>
      </c>
      <c r="D1106" s="4">
        <v>45917.633159722223</v>
      </c>
      <c r="E1106" s="5">
        <v>1</v>
      </c>
      <c r="F1106" s="5">
        <v>1</v>
      </c>
      <c r="G1106" s="5">
        <v>0</v>
      </c>
      <c r="H1106" s="4" t="s">
        <v>11</v>
      </c>
      <c r="I1106" s="5">
        <v>0</v>
      </c>
      <c r="J1106" s="4">
        <v>45917.615185185183</v>
      </c>
    </row>
    <row r="1107" spans="1:10" x14ac:dyDescent="0.2">
      <c r="A1107" s="2" t="s">
        <v>10</v>
      </c>
      <c r="B1107" s="3" t="str">
        <f t="shared" si="25"/>
        <v>Emailing Brochures aidants et patients</v>
      </c>
      <c r="C1107" s="3" t="str">
        <f>HYPERLINK("https://otsuka-europe-crm.veevavault.com/ui/#object/sent_email__v/VBLZ025E82GRWW9", "SE-000275977")</f>
        <v>SE-000275977</v>
      </c>
      <c r="D1107" s="4">
        <v>45918.360405092593</v>
      </c>
      <c r="E1107" s="5">
        <v>1</v>
      </c>
      <c r="F1107" s="5">
        <v>4</v>
      </c>
      <c r="G1107" s="5">
        <v>0</v>
      </c>
      <c r="H1107" s="4" t="s">
        <v>11</v>
      </c>
      <c r="I1107" s="5">
        <v>0</v>
      </c>
      <c r="J1107" s="4">
        <v>45917.708715277775</v>
      </c>
    </row>
    <row r="1108" spans="1:10" x14ac:dyDescent="0.2">
      <c r="A1108" s="2" t="s">
        <v>10</v>
      </c>
      <c r="B1108" s="3" t="str">
        <f t="shared" si="25"/>
        <v>Emailing Brochures aidants et patients</v>
      </c>
      <c r="C1108" s="3" t="str">
        <f>HYPERLINK("https://otsuka-europe-crm.veevavault.com/ui/#object/sent_email__v/VBLZ025E82GW7WT", "SE-000279620")</f>
        <v>SE-000279620</v>
      </c>
      <c r="D1108" s="4">
        <v>45922.631064814814</v>
      </c>
      <c r="E1108" s="5">
        <v>1</v>
      </c>
      <c r="F1108" s="5">
        <v>2</v>
      </c>
      <c r="G1108" s="5">
        <v>0</v>
      </c>
      <c r="H1108" s="4" t="s">
        <v>11</v>
      </c>
      <c r="I1108" s="5">
        <v>0</v>
      </c>
      <c r="J1108" s="4">
        <v>45922.626493055555</v>
      </c>
    </row>
    <row r="1109" spans="1:10" x14ac:dyDescent="0.2">
      <c r="A1109" s="2" t="s">
        <v>10</v>
      </c>
      <c r="B1109" s="3" t="str">
        <f t="shared" si="25"/>
        <v>Emailing Brochures aidants et patients</v>
      </c>
      <c r="C1109" s="3" t="str">
        <f>HYPERLINK("https://otsuka-europe-crm.veevavault.com/ui/#object/sent_email__v/VBLZ025E82H16X9", "SE-000281026")</f>
        <v>SE-000281026</v>
      </c>
      <c r="D1109" s="4">
        <v>45926.407118055555</v>
      </c>
      <c r="E1109" s="5">
        <v>1</v>
      </c>
      <c r="F1109" s="5">
        <v>1</v>
      </c>
      <c r="G1109" s="5">
        <v>0</v>
      </c>
      <c r="H1109" s="4" t="s">
        <v>11</v>
      </c>
      <c r="I1109" s="5">
        <v>0</v>
      </c>
      <c r="J1109" s="4">
        <v>45926.397291666668</v>
      </c>
    </row>
    <row r="1110" spans="1:10" x14ac:dyDescent="0.2">
      <c r="A1110" s="2" t="s">
        <v>10</v>
      </c>
      <c r="B1110" s="3" t="str">
        <f t="shared" si="25"/>
        <v>Emailing Brochures aidants et patients</v>
      </c>
      <c r="C1110" s="3" t="str">
        <f>HYPERLINK("https://otsuka-europe-crm.veevavault.com/ui/#object/sent_email__v/VBLZ025E82H7GUL", "SE-000282858")</f>
        <v>SE-000282858</v>
      </c>
      <c r="D1110" s="4" t="s">
        <v>11</v>
      </c>
      <c r="E1110" s="5">
        <v>0</v>
      </c>
      <c r="F1110" s="5">
        <v>0</v>
      </c>
      <c r="G1110" s="5">
        <v>0</v>
      </c>
      <c r="H1110" s="4" t="s">
        <v>11</v>
      </c>
      <c r="I1110" s="5">
        <v>0</v>
      </c>
      <c r="J1110" s="4">
        <v>45932.390694444446</v>
      </c>
    </row>
    <row r="1111" spans="1:10" x14ac:dyDescent="0.2">
      <c r="A1111" s="2" t="s">
        <v>10</v>
      </c>
      <c r="B1111" s="3" t="str">
        <f t="shared" si="25"/>
        <v>Emailing Brochures aidants et patients</v>
      </c>
      <c r="C1111" s="3" t="str">
        <f>HYPERLINK("https://otsuka-europe-crm.veevavault.com/ui/#object/sent_email__v/VBLZ025E82HFV0D", "SE-000285095")</f>
        <v>SE-000285095</v>
      </c>
      <c r="D1111" s="4" t="s">
        <v>11</v>
      </c>
      <c r="E1111" s="5">
        <v>0</v>
      </c>
      <c r="F1111" s="5">
        <v>0</v>
      </c>
      <c r="G1111" s="5">
        <v>0</v>
      </c>
      <c r="H1111" s="4" t="s">
        <v>11</v>
      </c>
      <c r="I1111" s="5">
        <v>0</v>
      </c>
      <c r="J1111" s="4">
        <v>45939.430115740739</v>
      </c>
    </row>
    <row r="1112" spans="1:10" x14ac:dyDescent="0.2">
      <c r="A1112" s="2" t="s">
        <v>10</v>
      </c>
      <c r="B1112" s="3" t="str">
        <f t="shared" si="25"/>
        <v>Emailing Brochures aidants et patients</v>
      </c>
      <c r="C1112" s="3" t="str">
        <f>HYPERLINK("https://otsuka-europe-crm.veevavault.com/ui/#object/sent_email__v/VBLZ025E82HGFOT", "SE-000285405")</f>
        <v>SE-000285405</v>
      </c>
      <c r="D1112" s="4">
        <v>45939.606550925928</v>
      </c>
      <c r="E1112" s="5">
        <v>1</v>
      </c>
      <c r="F1112" s="5">
        <v>2</v>
      </c>
      <c r="G1112" s="5">
        <v>0</v>
      </c>
      <c r="H1112" s="4" t="s">
        <v>11</v>
      </c>
      <c r="I1112" s="5">
        <v>0</v>
      </c>
      <c r="J1112" s="4">
        <v>45939.591296296298</v>
      </c>
    </row>
    <row r="1113" spans="1:10" x14ac:dyDescent="0.2">
      <c r="A1113" s="2" t="s">
        <v>10</v>
      </c>
      <c r="B1113" s="3" t="str">
        <f t="shared" si="25"/>
        <v>Emailing Brochures aidants et patients</v>
      </c>
      <c r="C1113" s="3" t="str">
        <f>HYPERLINK("https://otsuka-europe-crm.veevavault.com/ui/#object/sent_email__v/VBLZ025E82HGFUD", "SE-000285406")</f>
        <v>SE-000285406</v>
      </c>
      <c r="D1113" s="4" t="s">
        <v>11</v>
      </c>
      <c r="E1113" s="5">
        <v>0</v>
      </c>
      <c r="F1113" s="5">
        <v>0</v>
      </c>
      <c r="G1113" s="5">
        <v>0</v>
      </c>
      <c r="H1113" s="4" t="s">
        <v>11</v>
      </c>
      <c r="I1113" s="5">
        <v>0</v>
      </c>
      <c r="J1113" s="4">
        <v>45939.592291666668</v>
      </c>
    </row>
    <row r="1114" spans="1:10" x14ac:dyDescent="0.2">
      <c r="A1114" s="2" t="s">
        <v>10</v>
      </c>
      <c r="B1114" s="3" t="str">
        <f t="shared" si="25"/>
        <v>Emailing Brochures aidants et patients</v>
      </c>
      <c r="C1114" s="3" t="str">
        <f>HYPERLINK("https://otsuka-europe-crm.veevavault.com/ui/#object/sent_email__v/VBLZ025E82HGFZX", "SE-000285407")</f>
        <v>SE-000285407</v>
      </c>
      <c r="D1114" s="4">
        <v>45939.605254629627</v>
      </c>
      <c r="E1114" s="5">
        <v>1</v>
      </c>
      <c r="F1114" s="5">
        <v>2</v>
      </c>
      <c r="G1114" s="5">
        <v>0</v>
      </c>
      <c r="H1114" s="4" t="s">
        <v>11</v>
      </c>
      <c r="I1114" s="5">
        <v>0</v>
      </c>
      <c r="J1114" s="4">
        <v>45939.592638888891</v>
      </c>
    </row>
    <row r="1115" spans="1:10" x14ac:dyDescent="0.2">
      <c r="A1115" s="2" t="s">
        <v>10</v>
      </c>
      <c r="B1115" s="3" t="str">
        <f t="shared" si="25"/>
        <v>Emailing Brochures aidants et patients</v>
      </c>
      <c r="C1115" s="3" t="str">
        <f>HYPERLINK("https://otsuka-europe-crm.veevavault.com/ui/#object/sent_email__v/VBLZ025E82HNOVL", "SE-000288021")</f>
        <v>SE-000288021</v>
      </c>
      <c r="D1115" s="4" t="s">
        <v>11</v>
      </c>
      <c r="E1115" s="5">
        <v>0</v>
      </c>
      <c r="F1115" s="5">
        <v>0</v>
      </c>
      <c r="G1115" s="5">
        <v>0</v>
      </c>
      <c r="H1115" s="4" t="s">
        <v>11</v>
      </c>
      <c r="I1115" s="5">
        <v>0</v>
      </c>
      <c r="J1115" s="4">
        <v>45947.554375</v>
      </c>
    </row>
    <row r="1116" spans="1:10" x14ac:dyDescent="0.2">
      <c r="A1116" s="2" t="s">
        <v>10</v>
      </c>
      <c r="B1116" s="3" t="str">
        <f t="shared" si="25"/>
        <v>Emailing Brochures aidants et patients</v>
      </c>
      <c r="C1116" s="3" t="str">
        <f>HYPERLINK("https://otsuka-europe-crm.veevavault.com/ui/#object/sent_email__v/VBLZ025E82HNOYD", "SE-000288022")</f>
        <v>SE-000288022</v>
      </c>
      <c r="D1116" s="4">
        <v>45947.566458333335</v>
      </c>
      <c r="E1116" s="5">
        <v>1</v>
      </c>
      <c r="F1116" s="5">
        <v>2</v>
      </c>
      <c r="G1116" s="5">
        <v>0</v>
      </c>
      <c r="H1116" s="4" t="s">
        <v>11</v>
      </c>
      <c r="I1116" s="5">
        <v>0</v>
      </c>
      <c r="J1116" s="4">
        <v>45947.554722222223</v>
      </c>
    </row>
    <row r="1117" spans="1:10" x14ac:dyDescent="0.2">
      <c r="A1117" s="2" t="s">
        <v>10</v>
      </c>
      <c r="B1117" s="3" t="str">
        <f t="shared" si="25"/>
        <v>Emailing Brochures aidants et patients</v>
      </c>
      <c r="C1117" s="3" t="str">
        <f>HYPERLINK("https://otsuka-europe-crm.veevavault.com/ui/#object/sent_email__v/VBLZ025E82HNP15", "SE-000288023")</f>
        <v>SE-000288023</v>
      </c>
      <c r="D1117" s="4">
        <v>45950.46733796296</v>
      </c>
      <c r="E1117" s="5">
        <v>1</v>
      </c>
      <c r="F1117" s="5">
        <v>2</v>
      </c>
      <c r="G1117" s="5">
        <v>0</v>
      </c>
      <c r="H1117" s="4" t="s">
        <v>11</v>
      </c>
      <c r="I1117" s="5">
        <v>0</v>
      </c>
      <c r="J1117" s="4">
        <v>45947.555590277778</v>
      </c>
    </row>
    <row r="1118" spans="1:10" x14ac:dyDescent="0.2">
      <c r="A1118" s="2" t="s">
        <v>10</v>
      </c>
      <c r="B1118" s="3" t="str">
        <f t="shared" si="25"/>
        <v>Emailing Brochures aidants et patients</v>
      </c>
      <c r="C1118" s="3" t="str">
        <f>HYPERLINK("https://otsuka-europe-crm.veevavault.com/ui/#object/sent_email__v/VBLZ025E82HQPR1", "SE-000289779")</f>
        <v>SE-000289779</v>
      </c>
      <c r="D1118" s="4">
        <v>45981.437025462961</v>
      </c>
      <c r="E1118" s="5">
        <v>1</v>
      </c>
      <c r="F1118" s="5">
        <v>1</v>
      </c>
      <c r="G1118" s="5">
        <v>0</v>
      </c>
      <c r="H1118" s="4" t="s">
        <v>11</v>
      </c>
      <c r="I1118" s="5">
        <v>0</v>
      </c>
      <c r="J1118" s="4">
        <v>45951.696851851855</v>
      </c>
    </row>
    <row r="1119" spans="1:10" x14ac:dyDescent="0.2">
      <c r="A1119" s="2" t="s">
        <v>10</v>
      </c>
      <c r="B1119" s="3" t="str">
        <f t="shared" si="25"/>
        <v>Emailing Brochures aidants et patients</v>
      </c>
      <c r="C1119" s="3" t="str">
        <f>HYPERLINK("https://otsuka-europe-crm.veevavault.com/ui/#object/sent_email__v/VBLZ025E82HQPZD", "SE-000289780")</f>
        <v>SE-000289780</v>
      </c>
      <c r="D1119" s="4" t="s">
        <v>11</v>
      </c>
      <c r="E1119" s="5">
        <v>0</v>
      </c>
      <c r="F1119" s="5">
        <v>0</v>
      </c>
      <c r="G1119" s="5">
        <v>0</v>
      </c>
      <c r="H1119" s="4" t="s">
        <v>11</v>
      </c>
      <c r="I1119" s="5">
        <v>0</v>
      </c>
      <c r="J1119" s="4">
        <v>45951.697465277779</v>
      </c>
    </row>
    <row r="1120" spans="1:10" x14ac:dyDescent="0.2">
      <c r="A1120" s="2" t="s">
        <v>10</v>
      </c>
      <c r="B1120" s="3" t="str">
        <f t="shared" si="25"/>
        <v>Emailing Brochures aidants et patients</v>
      </c>
      <c r="C1120" s="3" t="str">
        <f>HYPERLINK("https://otsuka-europe-crm.veevavault.com/ui/#object/sent_email__v/VBL000000005625", "SE-001380500")</f>
        <v>SE-001380500</v>
      </c>
      <c r="D1120" s="4" t="s">
        <v>11</v>
      </c>
      <c r="E1120" s="5">
        <v>0</v>
      </c>
      <c r="F1120" s="5">
        <v>0</v>
      </c>
      <c r="G1120" s="5">
        <v>0</v>
      </c>
      <c r="H1120" s="4" t="s">
        <v>11</v>
      </c>
      <c r="I1120" s="5">
        <v>0</v>
      </c>
      <c r="J1120" s="4">
        <v>45964.638622685183</v>
      </c>
    </row>
    <row r="1121" spans="1:10" x14ac:dyDescent="0.2">
      <c r="A1121" s="2" t="s">
        <v>10</v>
      </c>
      <c r="B1121" s="3" t="str">
        <f t="shared" si="25"/>
        <v>Emailing Brochures aidants et patients</v>
      </c>
      <c r="C1121" s="3" t="str">
        <f>HYPERLINK("https://otsuka-europe-crm.veevavault.com/ui/#object/sent_email__v/VBL00000000P126", "SE-001391438")</f>
        <v>SE-001391438</v>
      </c>
      <c r="D1121" s="4">
        <v>45982.386956018519</v>
      </c>
      <c r="E1121" s="5">
        <v>1</v>
      </c>
      <c r="F1121" s="5">
        <v>1</v>
      </c>
      <c r="G1121" s="5">
        <v>0</v>
      </c>
      <c r="H1121" s="4" t="s">
        <v>11</v>
      </c>
      <c r="I1121" s="5">
        <v>0</v>
      </c>
      <c r="J1121" s="4">
        <v>45981.702986111108</v>
      </c>
    </row>
    <row r="1122" spans="1:10" x14ac:dyDescent="0.2">
      <c r="A1122" s="2" t="s">
        <v>10</v>
      </c>
      <c r="B1122" s="3" t="str">
        <f t="shared" si="25"/>
        <v>Emailing Brochures aidants et patients</v>
      </c>
      <c r="C1122" s="3" t="str">
        <f>HYPERLINK("https://otsuka-europe-crm.veevavault.com/ui/#object/sent_email__v/VBL00000000P128", "SE-001391440")</f>
        <v>SE-001391440</v>
      </c>
      <c r="D1122" s="4">
        <v>45983.519849537035</v>
      </c>
      <c r="E1122" s="5">
        <v>1</v>
      </c>
      <c r="F1122" s="5">
        <v>2</v>
      </c>
      <c r="G1122" s="5">
        <v>0</v>
      </c>
      <c r="H1122" s="4" t="s">
        <v>11</v>
      </c>
      <c r="I1122" s="5">
        <v>0</v>
      </c>
      <c r="J1122" s="4">
        <v>45981.703900462962</v>
      </c>
    </row>
    <row r="1123" spans="1:10" x14ac:dyDescent="0.2">
      <c r="A1123" s="2" t="s">
        <v>10</v>
      </c>
      <c r="B1123" s="3" t="str">
        <f t="shared" si="25"/>
        <v>Emailing Brochures aidants et patients</v>
      </c>
      <c r="C1123" s="3" t="str">
        <f>HYPERLINK("https://otsuka-europe-crm.veevavault.com/ui/#object/sent_email__v/VBL00000000Q242", "SE-001391441")</f>
        <v>SE-001391441</v>
      </c>
      <c r="D1123" s="4">
        <v>45982.578668981485</v>
      </c>
      <c r="E1123" s="5">
        <v>1</v>
      </c>
      <c r="F1123" s="5">
        <v>11</v>
      </c>
      <c r="G1123" s="5">
        <v>0</v>
      </c>
      <c r="H1123" s="4" t="s">
        <v>11</v>
      </c>
      <c r="I1123" s="5">
        <v>0</v>
      </c>
      <c r="J1123" s="4">
        <v>45981.704351851855</v>
      </c>
    </row>
    <row r="1124" spans="1:10" x14ac:dyDescent="0.2">
      <c r="A1124" s="2" t="s">
        <v>10</v>
      </c>
      <c r="B1124" s="3" t="str">
        <f t="shared" si="25"/>
        <v>Emailing Brochures aidants et patients</v>
      </c>
      <c r="C1124" s="3" t="str">
        <f>HYPERLINK("https://otsuka-europe-crm.veevavault.com/ui/#object/sent_email__v/VBL00000000S117", "SE-001391903")</f>
        <v>SE-001391903</v>
      </c>
      <c r="D1124" s="4">
        <v>45986.839699074073</v>
      </c>
      <c r="E1124" s="5">
        <v>1</v>
      </c>
      <c r="F1124" s="5">
        <v>1</v>
      </c>
      <c r="G1124" s="5">
        <v>1</v>
      </c>
      <c r="H1124" s="4">
        <v>45987.366759259261</v>
      </c>
      <c r="I1124" s="5">
        <v>4</v>
      </c>
      <c r="J1124" s="4">
        <v>45986.644305555557</v>
      </c>
    </row>
    <row r="1125" spans="1:10" x14ac:dyDescent="0.2">
      <c r="A1125" s="2" t="s">
        <v>10</v>
      </c>
      <c r="B1125" s="3" t="str">
        <f t="shared" si="25"/>
        <v>Emailing Brochures aidants et patients</v>
      </c>
      <c r="C1125" s="3" t="str">
        <f>HYPERLINK("https://otsuka-europe-crm.veevavault.com/ui/#object/sent_email__v/VBL00000000S140", "SE-001391939")</f>
        <v>SE-001391939</v>
      </c>
      <c r="D1125" s="4" t="s">
        <v>11</v>
      </c>
      <c r="E1125" s="5">
        <v>0</v>
      </c>
      <c r="F1125" s="5">
        <v>0</v>
      </c>
      <c r="G1125" s="5">
        <v>0</v>
      </c>
      <c r="H1125" s="4" t="s">
        <v>11</v>
      </c>
      <c r="I1125" s="5">
        <v>0</v>
      </c>
      <c r="J1125" s="4">
        <v>45987.525659722225</v>
      </c>
    </row>
    <row r="1126" spans="1:10" x14ac:dyDescent="0.2">
      <c r="A1126" s="2" t="s">
        <v>10</v>
      </c>
      <c r="B1126" s="3" t="str">
        <f t="shared" si="25"/>
        <v>Emailing Brochures aidants et patients</v>
      </c>
      <c r="C1126" s="3" t="str">
        <f>HYPERLINK("https://otsuka-europe-crm.veevavault.com/ui/#object/sent_email__v/VBL00000000U411", "SE-001394860")</f>
        <v>SE-001394860</v>
      </c>
      <c r="D1126" s="4">
        <v>45994.615983796299</v>
      </c>
      <c r="E1126" s="5">
        <v>1</v>
      </c>
      <c r="F1126" s="5">
        <v>1</v>
      </c>
      <c r="G1126" s="5">
        <v>1</v>
      </c>
      <c r="H1126" s="4">
        <v>45994.616516203707</v>
      </c>
      <c r="I1126" s="5">
        <v>3</v>
      </c>
      <c r="J1126" s="4">
        <v>45994.614768518521</v>
      </c>
    </row>
    <row r="1127" spans="1:10" x14ac:dyDescent="0.2">
      <c r="A1127" s="2" t="s">
        <v>10</v>
      </c>
      <c r="B1127" s="3" t="str">
        <f t="shared" si="25"/>
        <v>Emailing Brochures aidants et patients</v>
      </c>
      <c r="C1127" s="3" t="str">
        <f>HYPERLINK("https://otsuka-europe-crm.veevavault.com/ui/#object/sent_email__v/VBL00000000W079", "SE-001395787")</f>
        <v>SE-001395787</v>
      </c>
      <c r="D1127" s="4" t="s">
        <v>11</v>
      </c>
      <c r="E1127" s="5">
        <v>0</v>
      </c>
      <c r="F1127" s="5">
        <v>0</v>
      </c>
      <c r="G1127" s="5">
        <v>0</v>
      </c>
      <c r="H1127" s="4" t="s">
        <v>11</v>
      </c>
      <c r="I1127" s="5">
        <v>0</v>
      </c>
      <c r="J1127" s="4">
        <v>45999.537638888891</v>
      </c>
    </row>
    <row r="1128" spans="1:10" x14ac:dyDescent="0.2">
      <c r="A1128" s="2" t="s">
        <v>10</v>
      </c>
      <c r="B1128" s="3" t="str">
        <f t="shared" si="25"/>
        <v>Emailing Brochures aidants et patients</v>
      </c>
      <c r="C1128" s="3" t="str">
        <f>HYPERLINK("https://otsuka-europe-crm.veevavault.com/ui/#object/sent_email__v/VBL00000000X497", "SE-001396363")</f>
        <v>SE-001396363</v>
      </c>
      <c r="D1128" s="4" t="s">
        <v>11</v>
      </c>
      <c r="E1128" s="5">
        <v>0</v>
      </c>
      <c r="F1128" s="5">
        <v>0</v>
      </c>
      <c r="G1128" s="5">
        <v>0</v>
      </c>
      <c r="H1128" s="4" t="s">
        <v>11</v>
      </c>
      <c r="I1128" s="5">
        <v>0</v>
      </c>
      <c r="J1128" s="4">
        <v>46002.649039351854</v>
      </c>
    </row>
    <row r="1129" spans="1:10" x14ac:dyDescent="0.2">
      <c r="A1129" s="2" t="s">
        <v>10</v>
      </c>
      <c r="B1129" s="3" t="str">
        <f t="shared" si="25"/>
        <v>Emailing Brochures aidants et patients</v>
      </c>
      <c r="C1129" s="3" t="str">
        <f>HYPERLINK("https://otsuka-europe-crm.veevavault.com/ui/#object/sent_email__v/VBL000000011717", "SE-001397524")</f>
        <v>SE-001397524</v>
      </c>
      <c r="D1129" s="4">
        <v>46034.540011574078</v>
      </c>
      <c r="E1129" s="5">
        <v>1</v>
      </c>
      <c r="F1129" s="5">
        <v>4</v>
      </c>
      <c r="G1129" s="5">
        <v>0</v>
      </c>
      <c r="H1129" s="4" t="s">
        <v>11</v>
      </c>
      <c r="I1129" s="5">
        <v>0</v>
      </c>
      <c r="J1129" s="4">
        <v>46008.660775462966</v>
      </c>
    </row>
    <row r="1130" spans="1:10" x14ac:dyDescent="0.2">
      <c r="A1130" s="2" t="s">
        <v>10</v>
      </c>
      <c r="B1130" s="3" t="str">
        <f t="shared" si="25"/>
        <v>Emailing Brochures aidants et patients</v>
      </c>
      <c r="C1130" s="3" t="str">
        <f>HYPERLINK("https://otsuka-europe-crm.veevavault.com/ui/#object/sent_email__v/VBL000000011718", "SE-001397525")</f>
        <v>SE-001397525</v>
      </c>
      <c r="D1130" s="4">
        <v>46027.367800925924</v>
      </c>
      <c r="E1130" s="5">
        <v>1</v>
      </c>
      <c r="F1130" s="5">
        <v>18</v>
      </c>
      <c r="G1130" s="5">
        <v>1</v>
      </c>
      <c r="H1130" s="4">
        <v>46010.332326388889</v>
      </c>
      <c r="I1130" s="5">
        <v>3</v>
      </c>
      <c r="J1130" s="4">
        <v>46008.66133101852</v>
      </c>
    </row>
    <row r="1131" spans="1:10" x14ac:dyDescent="0.2">
      <c r="A1131" s="2" t="s">
        <v>10</v>
      </c>
      <c r="B1131" s="3" t="str">
        <f t="shared" si="25"/>
        <v>Emailing Brochures aidants et patients</v>
      </c>
      <c r="C1131" s="3" t="str">
        <f>HYPERLINK("https://otsuka-europe-crm.veevavault.com/ui/#object/sent_email__v/VBL000000013785", "SE-001399225")</f>
        <v>SE-001399225</v>
      </c>
      <c r="D1131" s="4">
        <v>46028.428124999999</v>
      </c>
      <c r="E1131" s="5">
        <v>1</v>
      </c>
      <c r="F1131" s="5">
        <v>1</v>
      </c>
      <c r="G1131" s="5">
        <v>0</v>
      </c>
      <c r="H1131" s="4" t="s">
        <v>11</v>
      </c>
      <c r="I1131" s="5">
        <v>0</v>
      </c>
      <c r="J1131" s="4">
        <v>46028.406782407408</v>
      </c>
    </row>
    <row r="1132" spans="1:10" x14ac:dyDescent="0.2">
      <c r="A1132" s="2" t="s">
        <v>10</v>
      </c>
      <c r="B1132" s="3" t="str">
        <f t="shared" si="25"/>
        <v>Emailing Brochures aidants et patients</v>
      </c>
      <c r="C1132" s="3" t="str">
        <f>HYPERLINK("https://otsuka-europe-crm.veevavault.com/ui/#object/sent_email__v/VBL000000013786", "SE-001399226")</f>
        <v>SE-001399226</v>
      </c>
      <c r="D1132" s="4">
        <v>46028.407094907408</v>
      </c>
      <c r="E1132" s="5">
        <v>1</v>
      </c>
      <c r="F1132" s="5">
        <v>2</v>
      </c>
      <c r="G1132" s="5">
        <v>0</v>
      </c>
      <c r="H1132" s="4" t="s">
        <v>11</v>
      </c>
      <c r="I1132" s="5">
        <v>0</v>
      </c>
      <c r="J1132" s="4">
        <v>46028.406840277778</v>
      </c>
    </row>
    <row r="1133" spans="1:10" x14ac:dyDescent="0.2">
      <c r="A1133" s="2" t="s">
        <v>10</v>
      </c>
      <c r="B1133" s="3" t="str">
        <f t="shared" si="25"/>
        <v>Emailing Brochures aidants et patients</v>
      </c>
      <c r="C1133" s="3" t="str">
        <f>HYPERLINK("https://otsuka-europe-crm.veevavault.com/ui/#object/sent_email__v/VBL000000012772", "SE-001399487")</f>
        <v>SE-001399487</v>
      </c>
      <c r="D1133" s="4">
        <v>46030.675509259258</v>
      </c>
      <c r="E1133" s="5">
        <v>1</v>
      </c>
      <c r="F1133" s="5">
        <v>72</v>
      </c>
      <c r="G1133" s="5">
        <v>1</v>
      </c>
      <c r="H1133" s="4">
        <v>46030.625694444447</v>
      </c>
      <c r="I1133" s="5">
        <v>1</v>
      </c>
      <c r="J1133" s="4">
        <v>46030.623993055553</v>
      </c>
    </row>
    <row r="1134" spans="1:10" x14ac:dyDescent="0.2">
      <c r="A1134" s="2" t="s">
        <v>10</v>
      </c>
      <c r="B1134" s="3" t="str">
        <f t="shared" si="25"/>
        <v>Emailing Brochures aidants et patients</v>
      </c>
      <c r="C1134" s="3" t="str">
        <f>HYPERLINK("https://otsuka-europe-crm.veevavault.com/ui/#object/sent_email__v/VBL000000012811", "SE-001399551")</f>
        <v>SE-001399551</v>
      </c>
      <c r="D1134" s="4" t="s">
        <v>11</v>
      </c>
      <c r="E1134" s="5">
        <v>0</v>
      </c>
      <c r="F1134" s="5">
        <v>0</v>
      </c>
      <c r="G1134" s="5">
        <v>0</v>
      </c>
      <c r="H1134" s="4" t="s">
        <v>11</v>
      </c>
      <c r="I1134" s="5">
        <v>0</v>
      </c>
      <c r="J1134" s="4">
        <v>46031.549953703703</v>
      </c>
    </row>
    <row r="1135" spans="1:10" x14ac:dyDescent="0.2">
      <c r="A1135" s="2" t="s">
        <v>10</v>
      </c>
      <c r="B1135" s="3" t="str">
        <f t="shared" si="25"/>
        <v>Emailing Brochures aidants et patients</v>
      </c>
      <c r="C1135" s="3" t="str">
        <f>HYPERLINK("https://otsuka-europe-crm.veevavault.com/ui/#object/sent_email__v/VBL000000013922", "SE-001399552")</f>
        <v>SE-001399552</v>
      </c>
      <c r="D1135" s="4" t="s">
        <v>11</v>
      </c>
      <c r="E1135" s="5">
        <v>0</v>
      </c>
      <c r="F1135" s="5">
        <v>0</v>
      </c>
      <c r="G1135" s="5">
        <v>0</v>
      </c>
      <c r="H1135" s="4" t="s">
        <v>11</v>
      </c>
      <c r="I1135" s="5">
        <v>0</v>
      </c>
      <c r="J1135" s="4">
        <v>46031.550208333334</v>
      </c>
    </row>
    <row r="1136" spans="1:10" x14ac:dyDescent="0.2">
      <c r="A1136" s="2" t="s">
        <v>10</v>
      </c>
      <c r="B1136" s="3" t="str">
        <f t="shared" si="25"/>
        <v>Emailing Brochures aidants et patients</v>
      </c>
      <c r="C1136" s="3" t="str">
        <f>HYPERLINK("https://otsuka-europe-crm.veevavault.com/ui/#object/sent_email__v/VBL000000012812", "SE-001399554")</f>
        <v>SE-001399554</v>
      </c>
      <c r="D1136" s="4" t="s">
        <v>11</v>
      </c>
      <c r="E1136" s="5">
        <v>0</v>
      </c>
      <c r="F1136" s="5">
        <v>0</v>
      </c>
      <c r="G1136" s="5">
        <v>0</v>
      </c>
      <c r="H1136" s="4" t="s">
        <v>11</v>
      </c>
      <c r="I1136" s="5">
        <v>0</v>
      </c>
      <c r="J1136" s="4">
        <v>46031.649884259263</v>
      </c>
    </row>
    <row r="1137" spans="1:10" x14ac:dyDescent="0.2">
      <c r="A1137" s="2" t="s">
        <v>10</v>
      </c>
      <c r="B1137" s="3" t="str">
        <f t="shared" si="25"/>
        <v>Emailing Brochures aidants et patients</v>
      </c>
      <c r="C1137" s="3" t="str">
        <f>HYPERLINK("https://otsuka-europe-crm.veevavault.com/ui/#object/sent_email__v/VBL000000014034", "SE-001399707")</f>
        <v>SE-001399707</v>
      </c>
      <c r="D1137" s="4" t="s">
        <v>11</v>
      </c>
      <c r="E1137" s="5">
        <v>0</v>
      </c>
      <c r="F1137" s="5">
        <v>0</v>
      </c>
      <c r="G1137" s="5">
        <v>0</v>
      </c>
      <c r="H1137" s="4" t="s">
        <v>11</v>
      </c>
      <c r="I1137" s="5">
        <v>0</v>
      </c>
      <c r="J1137" s="4">
        <v>46034.424699074072</v>
      </c>
    </row>
    <row r="1138" spans="1:10" x14ac:dyDescent="0.2">
      <c r="A1138" s="2" t="s">
        <v>10</v>
      </c>
      <c r="B1138" s="3" t="str">
        <f t="shared" si="25"/>
        <v>Emailing Brochures aidants et patients</v>
      </c>
      <c r="C1138" s="3" t="str">
        <f>HYPERLINK("https://otsuka-europe-crm.veevavault.com/ui/#object/sent_email__v/VBL000000012933", "SE-001399882")</f>
        <v>SE-001399882</v>
      </c>
      <c r="D1138" s="4" t="s">
        <v>11</v>
      </c>
      <c r="E1138" s="5">
        <v>0</v>
      </c>
      <c r="F1138" s="5">
        <v>0</v>
      </c>
      <c r="G1138" s="5">
        <v>0</v>
      </c>
      <c r="H1138" s="4" t="s">
        <v>11</v>
      </c>
      <c r="I1138" s="5">
        <v>0</v>
      </c>
      <c r="J1138" s="4">
        <v>46036.66443287037</v>
      </c>
    </row>
    <row r="1139" spans="1:10" x14ac:dyDescent="0.2">
      <c r="A1139" s="2" t="s">
        <v>10</v>
      </c>
      <c r="B1139" s="3" t="str">
        <f t="shared" si="25"/>
        <v>Emailing Brochures aidants et patients</v>
      </c>
      <c r="C1139" s="3" t="str">
        <f>HYPERLINK("https://otsuka-europe-crm.veevavault.com/ui/#object/sent_email__v/VBL000000012934", "SE-001399883")</f>
        <v>SE-001399883</v>
      </c>
      <c r="D1139" s="4" t="s">
        <v>11</v>
      </c>
      <c r="E1139" s="5">
        <v>0</v>
      </c>
      <c r="F1139" s="5">
        <v>0</v>
      </c>
      <c r="G1139" s="5">
        <v>0</v>
      </c>
      <c r="H1139" s="4" t="s">
        <v>11</v>
      </c>
      <c r="I1139" s="5">
        <v>0</v>
      </c>
      <c r="J1139" s="4">
        <v>46036.664872685185</v>
      </c>
    </row>
    <row r="1140" spans="1:10" x14ac:dyDescent="0.2">
      <c r="A1140" s="2" t="s">
        <v>10</v>
      </c>
      <c r="B1140" s="3" t="str">
        <f t="shared" si="25"/>
        <v>Emailing Brochures aidants et patients</v>
      </c>
      <c r="C1140" s="3" t="str">
        <f>HYPERLINK("https://otsuka-europe-crm.veevavault.com/ui/#object/sent_email__v/VBL000000014214", "SE-001400004")</f>
        <v>SE-001400004</v>
      </c>
      <c r="D1140" s="4" t="s">
        <v>11</v>
      </c>
      <c r="E1140" s="5">
        <v>0</v>
      </c>
      <c r="F1140" s="5">
        <v>0</v>
      </c>
      <c r="G1140" s="5">
        <v>0</v>
      </c>
      <c r="H1140" s="4" t="s">
        <v>11</v>
      </c>
      <c r="I1140" s="5">
        <v>0</v>
      </c>
      <c r="J1140" s="4">
        <v>46037.668437499997</v>
      </c>
    </row>
    <row r="1141" spans="1:10" x14ac:dyDescent="0.2">
      <c r="A1141" s="2" t="s">
        <v>10</v>
      </c>
      <c r="B1141" s="3" t="str">
        <f t="shared" si="25"/>
        <v>Emailing Brochures aidants et patients</v>
      </c>
      <c r="C1141" s="3" t="str">
        <f>HYPERLINK("https://otsuka-europe-crm.veevavault.com/ui/#object/sent_email__v/VBL000000014216", "SE-001400006")</f>
        <v>SE-001400006</v>
      </c>
      <c r="D1141" s="4" t="s">
        <v>11</v>
      </c>
      <c r="E1141" s="5">
        <v>0</v>
      </c>
      <c r="F1141" s="5">
        <v>0</v>
      </c>
      <c r="G1141" s="5">
        <v>0</v>
      </c>
      <c r="H1141" s="4" t="s">
        <v>11</v>
      </c>
      <c r="I1141" s="5">
        <v>0</v>
      </c>
      <c r="J1141" s="4">
        <v>46037.66920138889</v>
      </c>
    </row>
    <row r="1142" spans="1:10" x14ac:dyDescent="0.2">
      <c r="A1142" s="2" t="s">
        <v>10</v>
      </c>
      <c r="B1142" s="3" t="str">
        <f t="shared" si="25"/>
        <v>Emailing Brochures aidants et patients</v>
      </c>
      <c r="C1142" s="3" t="str">
        <f>HYPERLINK("https://otsuka-europe-crm.veevavault.com/ui/#object/sent_email__v/VBL000000016067", "SE-001400150")</f>
        <v>SE-001400150</v>
      </c>
      <c r="D1142" s="4">
        <v>46048.60328703704</v>
      </c>
      <c r="E1142" s="5">
        <v>1</v>
      </c>
      <c r="F1142" s="5">
        <v>1</v>
      </c>
      <c r="G1142" s="5">
        <v>0</v>
      </c>
      <c r="H1142" s="4" t="s">
        <v>11</v>
      </c>
      <c r="I1142" s="5">
        <v>0</v>
      </c>
      <c r="J1142" s="4">
        <v>46038.507847222223</v>
      </c>
    </row>
    <row r="1143" spans="1:10" x14ac:dyDescent="0.2">
      <c r="A1143" s="2" t="s">
        <v>10</v>
      </c>
      <c r="B1143" s="3" t="str">
        <f t="shared" si="25"/>
        <v>Emailing Brochures aidants et patients</v>
      </c>
      <c r="C1143" s="3" t="str">
        <f>HYPERLINK("https://otsuka-europe-crm.veevavault.com/ui/#object/sent_email__v/VBL000000015072", "SE-001400156")</f>
        <v>SE-001400156</v>
      </c>
      <c r="D1143" s="4">
        <v>46038.618738425925</v>
      </c>
      <c r="E1143" s="5">
        <v>1</v>
      </c>
      <c r="F1143" s="5">
        <v>1</v>
      </c>
      <c r="G1143" s="5">
        <v>0</v>
      </c>
      <c r="H1143" s="4" t="s">
        <v>11</v>
      </c>
      <c r="I1143" s="5">
        <v>0</v>
      </c>
      <c r="J1143" s="4">
        <v>46038.593634259261</v>
      </c>
    </row>
    <row r="1144" spans="1:10" x14ac:dyDescent="0.2">
      <c r="A1144" s="2" t="s">
        <v>10</v>
      </c>
      <c r="B1144" s="3" t="str">
        <f t="shared" si="25"/>
        <v>Emailing Brochures aidants et patients</v>
      </c>
      <c r="C1144" s="3" t="str">
        <f>HYPERLINK("https://otsuka-europe-crm.veevavault.com/ui/#object/sent_email__v/VBL000000015073", "SE-001400157")</f>
        <v>SE-001400157</v>
      </c>
      <c r="D1144" s="4" t="s">
        <v>11</v>
      </c>
      <c r="E1144" s="5">
        <v>0</v>
      </c>
      <c r="F1144" s="5">
        <v>0</v>
      </c>
      <c r="G1144" s="5">
        <v>0</v>
      </c>
      <c r="H1144" s="4" t="s">
        <v>11</v>
      </c>
      <c r="I1144" s="5">
        <v>0</v>
      </c>
      <c r="J1144" s="4">
        <v>46038.593807870369</v>
      </c>
    </row>
    <row r="1145" spans="1:10" x14ac:dyDescent="0.2">
      <c r="A1145" s="2" t="s">
        <v>10</v>
      </c>
      <c r="B1145" s="3" t="str">
        <f t="shared" si="25"/>
        <v>Emailing Brochures aidants et patients</v>
      </c>
      <c r="C1145" s="3" t="str">
        <f>HYPERLINK("https://otsuka-europe-crm.veevavault.com/ui/#object/sent_email__v/VBL000000015074", "SE-001400158")</f>
        <v>SE-001400158</v>
      </c>
      <c r="D1145" s="4">
        <v>46041.402673611112</v>
      </c>
      <c r="E1145" s="5">
        <v>1</v>
      </c>
      <c r="F1145" s="5">
        <v>3</v>
      </c>
      <c r="G1145" s="5">
        <v>1</v>
      </c>
      <c r="H1145" s="4">
        <v>46039.380810185183</v>
      </c>
      <c r="I1145" s="5">
        <v>3</v>
      </c>
      <c r="J1145" s="4">
        <v>46038.593807870369</v>
      </c>
    </row>
    <row r="1146" spans="1:10" x14ac:dyDescent="0.2">
      <c r="A1146" s="2" t="s">
        <v>10</v>
      </c>
      <c r="B1146" s="3" t="str">
        <f t="shared" si="25"/>
        <v>Emailing Brochures aidants et patients</v>
      </c>
      <c r="C1146" s="3" t="str">
        <f>HYPERLINK("https://otsuka-europe-crm.veevavault.com/ui/#object/sent_email__v/VBL000000016071", "SE-001400159")</f>
        <v>SE-001400159</v>
      </c>
      <c r="D1146" s="4" t="s">
        <v>11</v>
      </c>
      <c r="E1146" s="5">
        <v>0</v>
      </c>
      <c r="F1146" s="5">
        <v>0</v>
      </c>
      <c r="G1146" s="5">
        <v>0</v>
      </c>
      <c r="H1146" s="4" t="s">
        <v>11</v>
      </c>
      <c r="I1146" s="5">
        <v>0</v>
      </c>
      <c r="J1146" s="4">
        <v>46038.594502314816</v>
      </c>
    </row>
    <row r="1147" spans="1:10" x14ac:dyDescent="0.2">
      <c r="A1147" s="2" t="s">
        <v>10</v>
      </c>
      <c r="B1147" s="3" t="str">
        <f t="shared" si="25"/>
        <v>Emailing Brochures aidants et patients</v>
      </c>
      <c r="C1147" s="3" t="str">
        <f>HYPERLINK("https://otsuka-europe-crm.veevavault.com/ui/#object/sent_email__v/VBL000000016072", "SE-001400160")</f>
        <v>SE-001400160</v>
      </c>
      <c r="D1147" s="4">
        <v>46039.000127314815</v>
      </c>
      <c r="E1147" s="5">
        <v>1</v>
      </c>
      <c r="F1147" s="5">
        <v>1</v>
      </c>
      <c r="G1147" s="5">
        <v>0</v>
      </c>
      <c r="H1147" s="4" t="s">
        <v>11</v>
      </c>
      <c r="I1147" s="5">
        <v>0</v>
      </c>
      <c r="J1147" s="4">
        <v>46038.594826388886</v>
      </c>
    </row>
    <row r="1148" spans="1:10" x14ac:dyDescent="0.2">
      <c r="A1148" s="2" t="s">
        <v>10</v>
      </c>
      <c r="B1148" s="3" t="str">
        <f t="shared" si="25"/>
        <v>Emailing Brochures aidants et patients</v>
      </c>
      <c r="C1148" s="3" t="str">
        <f>HYPERLINK("https://otsuka-europe-crm.veevavault.com/ui/#object/sent_email__v/VBL000000015076", "SE-001400162")</f>
        <v>SE-001400162</v>
      </c>
      <c r="D1148" s="4">
        <v>46055.403171296297</v>
      </c>
      <c r="E1148" s="5">
        <v>1</v>
      </c>
      <c r="F1148" s="5">
        <v>2</v>
      </c>
      <c r="G1148" s="5">
        <v>0</v>
      </c>
      <c r="H1148" s="4" t="s">
        <v>11</v>
      </c>
      <c r="I1148" s="5">
        <v>0</v>
      </c>
      <c r="J1148" s="4">
        <v>46038.596724537034</v>
      </c>
    </row>
    <row r="1149" spans="1:10" x14ac:dyDescent="0.2">
      <c r="A1149" s="2" t="s">
        <v>10</v>
      </c>
      <c r="B1149" s="3" t="str">
        <f t="shared" si="25"/>
        <v>Emailing Brochures aidants et patients</v>
      </c>
      <c r="C1149" s="3" t="str">
        <f>HYPERLINK("https://otsuka-europe-crm.veevavault.com/ui/#object/sent_email__v/VBL000000015077", "SE-001400163")</f>
        <v>SE-001400163</v>
      </c>
      <c r="D1149" s="4" t="s">
        <v>11</v>
      </c>
      <c r="E1149" s="5">
        <v>0</v>
      </c>
      <c r="F1149" s="5">
        <v>0</v>
      </c>
      <c r="G1149" s="5">
        <v>0</v>
      </c>
      <c r="H1149" s="4" t="s">
        <v>11</v>
      </c>
      <c r="I1149" s="5">
        <v>0</v>
      </c>
      <c r="J1149" s="4">
        <v>46038.597650462965</v>
      </c>
    </row>
    <row r="1150" spans="1:10" x14ac:dyDescent="0.2">
      <c r="A1150" s="2" t="s">
        <v>10</v>
      </c>
      <c r="B1150" s="3" t="str">
        <f t="shared" si="25"/>
        <v>Emailing Brochures aidants et patients</v>
      </c>
      <c r="C1150" s="3" t="str">
        <f>HYPERLINK("https://otsuka-europe-crm.veevavault.com/ui/#object/sent_email__v/VBL000000016073", "SE-001400164")</f>
        <v>SE-001400164</v>
      </c>
      <c r="D1150" s="4" t="s">
        <v>11</v>
      </c>
      <c r="E1150" s="5">
        <v>0</v>
      </c>
      <c r="F1150" s="5">
        <v>0</v>
      </c>
      <c r="G1150" s="5">
        <v>0</v>
      </c>
      <c r="H1150" s="4" t="s">
        <v>11</v>
      </c>
      <c r="I1150" s="5">
        <v>0</v>
      </c>
      <c r="J1150" s="4">
        <v>46038.597905092596</v>
      </c>
    </row>
    <row r="1151" spans="1:10" x14ac:dyDescent="0.2">
      <c r="A1151" s="2" t="s">
        <v>10</v>
      </c>
      <c r="B1151" s="3" t="str">
        <f t="shared" si="25"/>
        <v>Emailing Brochures aidants et patients</v>
      </c>
      <c r="C1151" s="3" t="str">
        <f>HYPERLINK("https://otsuka-europe-crm.veevavault.com/ui/#object/sent_email__v/VBL000000016074", "SE-001400165")</f>
        <v>SE-001400165</v>
      </c>
      <c r="D1151" s="4" t="s">
        <v>11</v>
      </c>
      <c r="E1151" s="5">
        <v>0</v>
      </c>
      <c r="F1151" s="5">
        <v>0</v>
      </c>
      <c r="G1151" s="5">
        <v>0</v>
      </c>
      <c r="H1151" s="4" t="s">
        <v>11</v>
      </c>
      <c r="I1151" s="5">
        <v>0</v>
      </c>
      <c r="J1151" s="4">
        <v>46038.598240740743</v>
      </c>
    </row>
    <row r="1152" spans="1:10" x14ac:dyDescent="0.2">
      <c r="A1152" s="2" t="s">
        <v>10</v>
      </c>
      <c r="B1152" s="3" t="str">
        <f t="shared" si="25"/>
        <v>Emailing Brochures aidants et patients</v>
      </c>
      <c r="C1152" s="3" t="str">
        <f>HYPERLINK("https://otsuka-europe-crm.veevavault.com/ui/#object/sent_email__v/VBL000000015078", "SE-001400166")</f>
        <v>SE-001400166</v>
      </c>
      <c r="D1152" s="4" t="s">
        <v>11</v>
      </c>
      <c r="E1152" s="5">
        <v>0</v>
      </c>
      <c r="F1152" s="5">
        <v>0</v>
      </c>
      <c r="G1152" s="5">
        <v>0</v>
      </c>
      <c r="H1152" s="4" t="s">
        <v>11</v>
      </c>
      <c r="I1152" s="5">
        <v>0</v>
      </c>
      <c r="J1152" s="4">
        <v>46038.599664351852</v>
      </c>
    </row>
    <row r="1153" spans="1:10" x14ac:dyDescent="0.2">
      <c r="A1153" s="2" t="s">
        <v>10</v>
      </c>
      <c r="B1153" s="3" t="str">
        <f t="shared" si="25"/>
        <v>Emailing Brochures aidants et patients</v>
      </c>
      <c r="C1153" s="3" t="str">
        <f>HYPERLINK("https://otsuka-europe-crm.veevavault.com/ui/#object/sent_email__v/VBL000000015079", "SE-001400167")</f>
        <v>SE-001400167</v>
      </c>
      <c r="D1153" s="4" t="s">
        <v>11</v>
      </c>
      <c r="E1153" s="5">
        <v>0</v>
      </c>
      <c r="F1153" s="5">
        <v>0</v>
      </c>
      <c r="G1153" s="5">
        <v>0</v>
      </c>
      <c r="H1153" s="4" t="s">
        <v>11</v>
      </c>
      <c r="I1153" s="5">
        <v>0</v>
      </c>
      <c r="J1153" s="4">
        <v>46038.599953703706</v>
      </c>
    </row>
    <row r="1154" spans="1:10" x14ac:dyDescent="0.2">
      <c r="A1154" s="2" t="s">
        <v>10</v>
      </c>
      <c r="B1154" s="3" t="str">
        <f t="shared" si="25"/>
        <v>Emailing Brochures aidants et patients</v>
      </c>
      <c r="C1154" s="3" t="str">
        <f>HYPERLINK("https://otsuka-europe-crm.veevavault.com/ui/#object/sent_email__v/VBL000000015080", "SE-001400168")</f>
        <v>SE-001400168</v>
      </c>
      <c r="D1154" s="4" t="s">
        <v>11</v>
      </c>
      <c r="E1154" s="5">
        <v>0</v>
      </c>
      <c r="F1154" s="5">
        <v>0</v>
      </c>
      <c r="G1154" s="5">
        <v>0</v>
      </c>
      <c r="H1154" s="4" t="s">
        <v>11</v>
      </c>
      <c r="I1154" s="5">
        <v>0</v>
      </c>
      <c r="J1154" s="4">
        <v>46038.600543981483</v>
      </c>
    </row>
    <row r="1155" spans="1:10" x14ac:dyDescent="0.2">
      <c r="A1155" s="2" t="s">
        <v>10</v>
      </c>
      <c r="B1155" s="3" t="str">
        <f t="shared" si="25"/>
        <v>Emailing Brochures aidants et patients</v>
      </c>
      <c r="C1155" s="3" t="str">
        <f>HYPERLINK("https://otsuka-europe-crm.veevavault.com/ui/#object/sent_email__v/VBL000000015083", "SE-001400171")</f>
        <v>SE-001400171</v>
      </c>
      <c r="D1155" s="4" t="s">
        <v>11</v>
      </c>
      <c r="E1155" s="5">
        <v>0</v>
      </c>
      <c r="F1155" s="5">
        <v>0</v>
      </c>
      <c r="G1155" s="5">
        <v>0</v>
      </c>
      <c r="H1155" s="4" t="s">
        <v>11</v>
      </c>
      <c r="I1155" s="5">
        <v>0</v>
      </c>
      <c r="J1155" s="4">
        <v>46038.601898148147</v>
      </c>
    </row>
    <row r="1156" spans="1:10" x14ac:dyDescent="0.2">
      <c r="A1156" s="2" t="s">
        <v>10</v>
      </c>
      <c r="B1156" s="3" t="str">
        <f t="shared" si="25"/>
        <v>Emailing Brochures aidants et patients</v>
      </c>
      <c r="C1156" s="3" t="str">
        <f>HYPERLINK("https://otsuka-europe-crm.veevavault.com/ui/#object/sent_email__v/VBL000000015122", "SE-001400227")</f>
        <v>SE-001400227</v>
      </c>
      <c r="D1156" s="4" t="s">
        <v>11</v>
      </c>
      <c r="E1156" s="5">
        <v>0</v>
      </c>
      <c r="F1156" s="5">
        <v>0</v>
      </c>
      <c r="G1156" s="5">
        <v>0</v>
      </c>
      <c r="H1156" s="4" t="s">
        <v>11</v>
      </c>
      <c r="I1156" s="5">
        <v>0</v>
      </c>
      <c r="J1156" s="4">
        <v>46043.429178240738</v>
      </c>
    </row>
    <row r="1157" spans="1:10" x14ac:dyDescent="0.2">
      <c r="A1157" s="2" t="s">
        <v>10</v>
      </c>
      <c r="B1157" s="3" t="str">
        <f t="shared" si="25"/>
        <v>Emailing Brochures aidants et patients</v>
      </c>
      <c r="C1157" s="3" t="str">
        <f>HYPERLINK("https://otsuka-europe-crm.veevavault.com/ui/#object/sent_email__v/VBL000000015235", "SE-001400581")</f>
        <v>SE-001400581</v>
      </c>
      <c r="D1157" s="4">
        <v>46072.650312500002</v>
      </c>
      <c r="E1157" s="5">
        <v>1</v>
      </c>
      <c r="F1157" s="5">
        <v>25</v>
      </c>
      <c r="G1157" s="5">
        <v>1</v>
      </c>
      <c r="H1157" s="4">
        <v>46065.559907407405</v>
      </c>
      <c r="I1157" s="5">
        <v>4</v>
      </c>
      <c r="J1157" s="4">
        <v>46043.429143518515</v>
      </c>
    </row>
    <row r="1158" spans="1:10" x14ac:dyDescent="0.2">
      <c r="A1158" s="2" t="s">
        <v>10</v>
      </c>
      <c r="B1158" s="3" t="str">
        <f t="shared" si="25"/>
        <v>Emailing Brochures aidants et patients</v>
      </c>
      <c r="C1158" s="3" t="str">
        <f>HYPERLINK("https://otsuka-europe-crm.veevavault.com/ui/#object/sent_email__v/VBL000000016560", "SE-001400872")</f>
        <v>SE-001400872</v>
      </c>
      <c r="D1158" s="4" t="s">
        <v>11</v>
      </c>
      <c r="E1158" s="5">
        <v>0</v>
      </c>
      <c r="F1158" s="5">
        <v>0</v>
      </c>
      <c r="G1158" s="5">
        <v>0</v>
      </c>
      <c r="H1158" s="4" t="s">
        <v>11</v>
      </c>
      <c r="I1158" s="5">
        <v>0</v>
      </c>
      <c r="J1158" s="4">
        <v>46045.570439814815</v>
      </c>
    </row>
    <row r="1159" spans="1:10" x14ac:dyDescent="0.2">
      <c r="A1159" s="2" t="s">
        <v>10</v>
      </c>
      <c r="B1159" s="3" t="str">
        <f t="shared" si="25"/>
        <v>Emailing Brochures aidants et patients</v>
      </c>
      <c r="C1159" s="3" t="str">
        <f>HYPERLINK("https://otsuka-europe-crm.veevavault.com/ui/#object/sent_email__v/VBL000000016561", "SE-001400873")</f>
        <v>SE-001400873</v>
      </c>
      <c r="D1159" s="4">
        <v>46045.590752314813</v>
      </c>
      <c r="E1159" s="5">
        <v>1</v>
      </c>
      <c r="F1159" s="5">
        <v>2</v>
      </c>
      <c r="G1159" s="5">
        <v>0</v>
      </c>
      <c r="H1159" s="4" t="s">
        <v>11</v>
      </c>
      <c r="I1159" s="5">
        <v>0</v>
      </c>
      <c r="J1159" s="4">
        <v>46045.570555555554</v>
      </c>
    </row>
    <row r="1160" spans="1:10" x14ac:dyDescent="0.2">
      <c r="A1160" s="2" t="s">
        <v>10</v>
      </c>
      <c r="B1160" s="3" t="str">
        <f t="shared" si="25"/>
        <v>Emailing Brochures aidants et patients</v>
      </c>
      <c r="C1160" s="3" t="str">
        <f>HYPERLINK("https://otsuka-europe-crm.veevavault.com/ui/#object/sent_email__v/VBL000000016563", "SE-001400875")</f>
        <v>SE-001400875</v>
      </c>
      <c r="D1160" s="4" t="s">
        <v>11</v>
      </c>
      <c r="E1160" s="5">
        <v>0</v>
      </c>
      <c r="F1160" s="5">
        <v>0</v>
      </c>
      <c r="G1160" s="5">
        <v>0</v>
      </c>
      <c r="H1160" s="4" t="s">
        <v>11</v>
      </c>
      <c r="I1160" s="5">
        <v>0</v>
      </c>
      <c r="J1160" s="4">
        <v>46045.570740740739</v>
      </c>
    </row>
    <row r="1161" spans="1:10" x14ac:dyDescent="0.2">
      <c r="A1161" s="2" t="s">
        <v>10</v>
      </c>
      <c r="B1161" s="3" t="str">
        <f t="shared" si="25"/>
        <v>Emailing Brochures aidants et patients</v>
      </c>
      <c r="C1161" s="3" t="str">
        <f>HYPERLINK("https://otsuka-europe-crm.veevavault.com/ui/#object/sent_email__v/VBL000000015332", "SE-001400880")</f>
        <v>SE-001400880</v>
      </c>
      <c r="D1161" s="4" t="s">
        <v>11</v>
      </c>
      <c r="E1161" s="5">
        <v>0</v>
      </c>
      <c r="F1161" s="5">
        <v>0</v>
      </c>
      <c r="G1161" s="5">
        <v>0</v>
      </c>
      <c r="H1161" s="4" t="s">
        <v>11</v>
      </c>
      <c r="I1161" s="5">
        <v>0</v>
      </c>
      <c r="J1161" s="4">
        <v>46045.571886574071</v>
      </c>
    </row>
    <row r="1162" spans="1:10" x14ac:dyDescent="0.2">
      <c r="A1162" s="2" t="s">
        <v>10</v>
      </c>
      <c r="B1162" s="3" t="str">
        <f t="shared" si="25"/>
        <v>Emailing Brochures aidants et patients</v>
      </c>
      <c r="C1162" s="3" t="str">
        <f>HYPERLINK("https://otsuka-europe-crm.veevavault.com/ui/#object/sent_email__v/VBL000000016568", "SE-001400881")</f>
        <v>SE-001400881</v>
      </c>
      <c r="D1162" s="4" t="s">
        <v>11</v>
      </c>
      <c r="E1162" s="5">
        <v>0</v>
      </c>
      <c r="F1162" s="5">
        <v>0</v>
      </c>
      <c r="G1162" s="5">
        <v>0</v>
      </c>
      <c r="H1162" s="4" t="s">
        <v>11</v>
      </c>
      <c r="I1162" s="5">
        <v>0</v>
      </c>
      <c r="J1162" s="4">
        <v>46045.57271990741</v>
      </c>
    </row>
    <row r="1163" spans="1:10" x14ac:dyDescent="0.2">
      <c r="A1163" s="2" t="s">
        <v>10</v>
      </c>
      <c r="B1163" s="3" t="str">
        <f t="shared" si="25"/>
        <v>Emailing Brochures aidants et patients</v>
      </c>
      <c r="C1163" s="3" t="str">
        <f>HYPERLINK("https://otsuka-europe-crm.veevavault.com/ui/#object/sent_email__v/VBL000000016570", "SE-001400883")</f>
        <v>SE-001400883</v>
      </c>
      <c r="D1163" s="4" t="s">
        <v>11</v>
      </c>
      <c r="E1163" s="5">
        <v>0</v>
      </c>
      <c r="F1163" s="5">
        <v>0</v>
      </c>
      <c r="G1163" s="5">
        <v>0</v>
      </c>
      <c r="H1163" s="4" t="s">
        <v>11</v>
      </c>
      <c r="I1163" s="5">
        <v>0</v>
      </c>
      <c r="J1163" s="4">
        <v>46045.573750000003</v>
      </c>
    </row>
    <row r="1164" spans="1:10" x14ac:dyDescent="0.2">
      <c r="A1164" s="2" t="s">
        <v>10</v>
      </c>
      <c r="B1164" s="3" t="str">
        <f t="shared" si="25"/>
        <v>Emailing Brochures aidants et patients</v>
      </c>
      <c r="C1164" s="3" t="str">
        <f>HYPERLINK("https://otsuka-europe-crm.veevavault.com/ui/#object/sent_email__v/VBL000000016573", "SE-001400886")</f>
        <v>SE-001400886</v>
      </c>
      <c r="D1164" s="4" t="s">
        <v>11</v>
      </c>
      <c r="E1164" s="5">
        <v>0</v>
      </c>
      <c r="F1164" s="5">
        <v>0</v>
      </c>
      <c r="G1164" s="5">
        <v>0</v>
      </c>
      <c r="H1164" s="4" t="s">
        <v>11</v>
      </c>
      <c r="I1164" s="5">
        <v>0</v>
      </c>
      <c r="J1164" s="4">
        <v>46045.575046296297</v>
      </c>
    </row>
    <row r="1165" spans="1:10" x14ac:dyDescent="0.2">
      <c r="A1165" s="2" t="s">
        <v>10</v>
      </c>
      <c r="B1165" s="3" t="str">
        <f t="shared" ref="B1165:B1197" si="26">HYPERLINK("https://otsuka-europe-crm.veevavault.com/ui/#object/approved_document__v/V5OZ04ASG4FV2JY", "Emailing Brochures aidants et patients")</f>
        <v>Emailing Brochures aidants et patients</v>
      </c>
      <c r="C1165" s="3" t="str">
        <f>HYPERLINK("https://otsuka-europe-crm.veevavault.com/ui/#object/sent_email__v/VBL000000015333", "SE-001400888")</f>
        <v>SE-001400888</v>
      </c>
      <c r="D1165" s="4" t="s">
        <v>11</v>
      </c>
      <c r="E1165" s="5">
        <v>0</v>
      </c>
      <c r="F1165" s="5">
        <v>0</v>
      </c>
      <c r="G1165" s="5">
        <v>0</v>
      </c>
      <c r="H1165" s="4" t="s">
        <v>11</v>
      </c>
      <c r="I1165" s="5">
        <v>0</v>
      </c>
      <c r="J1165" s="4">
        <v>46045.576388888891</v>
      </c>
    </row>
    <row r="1166" spans="1:10" x14ac:dyDescent="0.2">
      <c r="A1166" s="2" t="s">
        <v>10</v>
      </c>
      <c r="B1166" s="3" t="str">
        <f t="shared" si="26"/>
        <v>Emailing Brochures aidants et patients</v>
      </c>
      <c r="C1166" s="3" t="str">
        <f>HYPERLINK("https://otsuka-europe-crm.veevavault.com/ui/#object/sent_email__v/VBL000000015340", "SE-001400901")</f>
        <v>SE-001400901</v>
      </c>
      <c r="D1166" s="4" t="s">
        <v>11</v>
      </c>
      <c r="E1166" s="5">
        <v>0</v>
      </c>
      <c r="F1166" s="5">
        <v>0</v>
      </c>
      <c r="G1166" s="5">
        <v>0</v>
      </c>
      <c r="H1166" s="4" t="s">
        <v>11</v>
      </c>
      <c r="I1166" s="5">
        <v>0</v>
      </c>
      <c r="J1166" s="4">
        <v>46048.280439814815</v>
      </c>
    </row>
    <row r="1167" spans="1:10" x14ac:dyDescent="0.2">
      <c r="A1167" s="2" t="s">
        <v>10</v>
      </c>
      <c r="B1167" s="3" t="str">
        <f t="shared" si="26"/>
        <v>Emailing Brochures aidants et patients</v>
      </c>
      <c r="C1167" s="3" t="str">
        <f>HYPERLINK("https://otsuka-europe-crm.veevavault.com/ui/#object/sent_email__v/VBL000000016590", "SE-001400905")</f>
        <v>SE-001400905</v>
      </c>
      <c r="D1167" s="4" t="s">
        <v>11</v>
      </c>
      <c r="E1167" s="5">
        <v>0</v>
      </c>
      <c r="F1167" s="5">
        <v>0</v>
      </c>
      <c r="G1167" s="5">
        <v>0</v>
      </c>
      <c r="H1167" s="4" t="s">
        <v>11</v>
      </c>
      <c r="I1167" s="5">
        <v>0</v>
      </c>
      <c r="J1167" s="4">
        <v>46048.280717592592</v>
      </c>
    </row>
    <row r="1168" spans="1:10" x14ac:dyDescent="0.2">
      <c r="A1168" s="2" t="s">
        <v>10</v>
      </c>
      <c r="B1168" s="3" t="str">
        <f t="shared" si="26"/>
        <v>Emailing Brochures aidants et patients</v>
      </c>
      <c r="C1168" s="3" t="str">
        <f>HYPERLINK("https://otsuka-europe-crm.veevavault.com/ui/#object/sent_email__v/VBL000000015341", "SE-001400906")</f>
        <v>SE-001400906</v>
      </c>
      <c r="D1168" s="4" t="s">
        <v>11</v>
      </c>
      <c r="E1168" s="5">
        <v>0</v>
      </c>
      <c r="F1168" s="5">
        <v>0</v>
      </c>
      <c r="G1168" s="5">
        <v>0</v>
      </c>
      <c r="H1168" s="4" t="s">
        <v>11</v>
      </c>
      <c r="I1168" s="5">
        <v>0</v>
      </c>
      <c r="J1168" s="4">
        <v>46048.280775462961</v>
      </c>
    </row>
    <row r="1169" spans="1:10" x14ac:dyDescent="0.2">
      <c r="A1169" s="2" t="s">
        <v>10</v>
      </c>
      <c r="B1169" s="3" t="str">
        <f t="shared" si="26"/>
        <v>Emailing Brochures aidants et patients</v>
      </c>
      <c r="C1169" s="3" t="str">
        <f>HYPERLINK("https://otsuka-europe-crm.veevavault.com/ui/#object/sent_email__v/VBL000000016591", "SE-001400907")</f>
        <v>SE-001400907</v>
      </c>
      <c r="D1169" s="4">
        <v>46048.834166666667</v>
      </c>
      <c r="E1169" s="5">
        <v>1</v>
      </c>
      <c r="F1169" s="5">
        <v>1</v>
      </c>
      <c r="G1169" s="5">
        <v>0</v>
      </c>
      <c r="H1169" s="4" t="s">
        <v>11</v>
      </c>
      <c r="I1169" s="5">
        <v>0</v>
      </c>
      <c r="J1169" s="4">
        <v>46048.280856481484</v>
      </c>
    </row>
    <row r="1170" spans="1:10" x14ac:dyDescent="0.2">
      <c r="A1170" s="2" t="s">
        <v>10</v>
      </c>
      <c r="B1170" s="3" t="str">
        <f t="shared" si="26"/>
        <v>Emailing Brochures aidants et patients</v>
      </c>
      <c r="C1170" s="3" t="str">
        <f>HYPERLINK("https://otsuka-europe-crm.veevavault.com/ui/#object/sent_email__v/VBL000000016636", "SE-001400991")</f>
        <v>SE-001400991</v>
      </c>
      <c r="D1170" s="4">
        <v>46057.391863425924</v>
      </c>
      <c r="E1170" s="5">
        <v>1</v>
      </c>
      <c r="F1170" s="5">
        <v>22</v>
      </c>
      <c r="G1170" s="5">
        <v>0</v>
      </c>
      <c r="H1170" s="4" t="s">
        <v>11</v>
      </c>
      <c r="I1170" s="5">
        <v>0</v>
      </c>
      <c r="J1170" s="4">
        <v>46048.645370370374</v>
      </c>
    </row>
    <row r="1171" spans="1:10" x14ac:dyDescent="0.2">
      <c r="A1171" s="2" t="s">
        <v>10</v>
      </c>
      <c r="B1171" s="3" t="str">
        <f t="shared" si="26"/>
        <v>Emailing Brochures aidants et patients</v>
      </c>
      <c r="C1171" s="3" t="str">
        <f>HYPERLINK("https://otsuka-europe-crm.veevavault.com/ui/#object/sent_email__v/VBL000000018109", "SE-001402217")</f>
        <v>SE-001402217</v>
      </c>
      <c r="D1171" s="4" t="s">
        <v>11</v>
      </c>
      <c r="E1171" s="5">
        <v>0</v>
      </c>
      <c r="F1171" s="5">
        <v>0</v>
      </c>
      <c r="G1171" s="5">
        <v>0</v>
      </c>
      <c r="H1171" s="4" t="s">
        <v>11</v>
      </c>
      <c r="I1171" s="5">
        <v>0</v>
      </c>
      <c r="J1171" s="4">
        <v>46051.629560185182</v>
      </c>
    </row>
    <row r="1172" spans="1:10" x14ac:dyDescent="0.2">
      <c r="A1172" s="2" t="s">
        <v>10</v>
      </c>
      <c r="B1172" s="3" t="str">
        <f t="shared" si="26"/>
        <v>Emailing Brochures aidants et patients</v>
      </c>
      <c r="C1172" s="3" t="str">
        <f>HYPERLINK("https://otsuka-europe-crm.veevavault.com/ui/#object/sent_email__v/VBL000000018110", "SE-001402220")</f>
        <v>SE-001402220</v>
      </c>
      <c r="D1172" s="4" t="s">
        <v>11</v>
      </c>
      <c r="E1172" s="5">
        <v>0</v>
      </c>
      <c r="F1172" s="5">
        <v>0</v>
      </c>
      <c r="G1172" s="5">
        <v>0</v>
      </c>
      <c r="H1172" s="4" t="s">
        <v>11</v>
      </c>
      <c r="I1172" s="5">
        <v>0</v>
      </c>
      <c r="J1172" s="4">
        <v>46051.630960648145</v>
      </c>
    </row>
    <row r="1173" spans="1:10" x14ac:dyDescent="0.2">
      <c r="A1173" s="2" t="s">
        <v>10</v>
      </c>
      <c r="B1173" s="3" t="str">
        <f t="shared" si="26"/>
        <v>Emailing Brochures aidants et patients</v>
      </c>
      <c r="C1173" s="3" t="str">
        <f>HYPERLINK("https://otsuka-europe-crm.veevavault.com/ui/#object/sent_email__v/VBL000000017165", "SE-001402221")</f>
        <v>SE-001402221</v>
      </c>
      <c r="D1173" s="4" t="s">
        <v>11</v>
      </c>
      <c r="E1173" s="5">
        <v>0</v>
      </c>
      <c r="F1173" s="5">
        <v>0</v>
      </c>
      <c r="G1173" s="5">
        <v>0</v>
      </c>
      <c r="H1173" s="4" t="s">
        <v>11</v>
      </c>
      <c r="I1173" s="5">
        <v>0</v>
      </c>
      <c r="J1173" s="4">
        <v>46051.631180555552</v>
      </c>
    </row>
    <row r="1174" spans="1:10" x14ac:dyDescent="0.2">
      <c r="A1174" s="2" t="s">
        <v>10</v>
      </c>
      <c r="B1174" s="3" t="str">
        <f t="shared" si="26"/>
        <v>Emailing Brochures aidants et patients</v>
      </c>
      <c r="C1174" s="3" t="str">
        <f>HYPERLINK("https://otsuka-europe-crm.veevavault.com/ui/#object/sent_email__v/VBL000000019321", "SE-001402714")</f>
        <v>SE-001402714</v>
      </c>
      <c r="D1174" s="4">
        <v>46059.317604166667</v>
      </c>
      <c r="E1174" s="5">
        <v>1</v>
      </c>
      <c r="F1174" s="5">
        <v>1</v>
      </c>
      <c r="G1174" s="5">
        <v>0</v>
      </c>
      <c r="H1174" s="4" t="s">
        <v>11</v>
      </c>
      <c r="I1174" s="5">
        <v>0</v>
      </c>
      <c r="J1174" s="4">
        <v>46057.713819444441</v>
      </c>
    </row>
    <row r="1175" spans="1:10" x14ac:dyDescent="0.2">
      <c r="A1175" s="2" t="s">
        <v>10</v>
      </c>
      <c r="B1175" s="3" t="str">
        <f t="shared" si="26"/>
        <v>Emailing Brochures aidants et patients</v>
      </c>
      <c r="C1175" s="3" t="str">
        <f>HYPERLINK("https://otsuka-europe-crm.veevavault.com/ui/#object/sent_email__v/VBL00000001A187", "SE-001402764")</f>
        <v>SE-001402764</v>
      </c>
      <c r="D1175" s="4">
        <v>46063.183518518519</v>
      </c>
      <c r="E1175" s="5">
        <v>1</v>
      </c>
      <c r="F1175" s="5">
        <v>2</v>
      </c>
      <c r="G1175" s="5">
        <v>0</v>
      </c>
      <c r="H1175" s="4" t="s">
        <v>11</v>
      </c>
      <c r="I1175" s="5">
        <v>0</v>
      </c>
      <c r="J1175" s="4">
        <v>46058.521099537036</v>
      </c>
    </row>
    <row r="1176" spans="1:10" x14ac:dyDescent="0.2">
      <c r="A1176" s="2" t="s">
        <v>10</v>
      </c>
      <c r="B1176" s="3" t="str">
        <f t="shared" si="26"/>
        <v>Emailing Brochures aidants et patients</v>
      </c>
      <c r="C1176" s="3" t="str">
        <f>HYPERLINK("https://otsuka-europe-crm.veevavault.com/ui/#object/sent_email__v/VBL00000001A188", "SE-001402765")</f>
        <v>SE-001402765</v>
      </c>
      <c r="D1176" s="4" t="s">
        <v>11</v>
      </c>
      <c r="E1176" s="5">
        <v>0</v>
      </c>
      <c r="F1176" s="5">
        <v>0</v>
      </c>
      <c r="G1176" s="5">
        <v>0</v>
      </c>
      <c r="H1176" s="4" t="s">
        <v>11</v>
      </c>
      <c r="I1176" s="5">
        <v>0</v>
      </c>
      <c r="J1176" s="4">
        <v>46058.522199074076</v>
      </c>
    </row>
    <row r="1177" spans="1:10" x14ac:dyDescent="0.2">
      <c r="A1177" s="2" t="s">
        <v>10</v>
      </c>
      <c r="B1177" s="3" t="str">
        <f t="shared" si="26"/>
        <v>Emailing Brochures aidants et patients</v>
      </c>
      <c r="C1177" s="3" t="str">
        <f>HYPERLINK("https://otsuka-europe-crm.veevavault.com/ui/#object/sent_email__v/VBL000000019349", "SE-001402767")</f>
        <v>SE-001402767</v>
      </c>
      <c r="D1177" s="4">
        <v>46058.756574074076</v>
      </c>
      <c r="E1177" s="5">
        <v>1</v>
      </c>
      <c r="F1177" s="5">
        <v>1</v>
      </c>
      <c r="G1177" s="5">
        <v>0</v>
      </c>
      <c r="H1177" s="4" t="s">
        <v>11</v>
      </c>
      <c r="I1177" s="5">
        <v>0</v>
      </c>
      <c r="J1177" s="4">
        <v>46058.522870370369</v>
      </c>
    </row>
    <row r="1178" spans="1:10" x14ac:dyDescent="0.2">
      <c r="A1178" s="2" t="s">
        <v>10</v>
      </c>
      <c r="B1178" s="3" t="str">
        <f t="shared" si="26"/>
        <v>Emailing Brochures aidants et patients</v>
      </c>
      <c r="C1178" s="3" t="str">
        <f>HYPERLINK("https://otsuka-europe-crm.veevavault.com/ui/#object/sent_email__v/VBL00000001A190", "SE-001402768")</f>
        <v>SE-001402768</v>
      </c>
      <c r="D1178" s="4">
        <v>46064.367083333331</v>
      </c>
      <c r="E1178" s="5">
        <v>1</v>
      </c>
      <c r="F1178" s="5">
        <v>7</v>
      </c>
      <c r="G1178" s="5">
        <v>1</v>
      </c>
      <c r="H1178" s="4">
        <v>46064.370300925926</v>
      </c>
      <c r="I1178" s="5">
        <v>9</v>
      </c>
      <c r="J1178" s="4">
        <v>46058.524097222224</v>
      </c>
    </row>
    <row r="1179" spans="1:10" x14ac:dyDescent="0.2">
      <c r="A1179" s="2" t="s">
        <v>10</v>
      </c>
      <c r="B1179" s="3" t="str">
        <f t="shared" si="26"/>
        <v>Emailing Brochures aidants et patients</v>
      </c>
      <c r="C1179" s="3" t="str">
        <f>HYPERLINK("https://otsuka-europe-crm.veevavault.com/ui/#object/sent_email__v/VBL00000001A191", "SE-001402769")</f>
        <v>SE-001402769</v>
      </c>
      <c r="D1179" s="4">
        <v>46058.624942129631</v>
      </c>
      <c r="E1179" s="5">
        <v>1</v>
      </c>
      <c r="F1179" s="5">
        <v>1</v>
      </c>
      <c r="G1179" s="5">
        <v>0</v>
      </c>
      <c r="H1179" s="4" t="s">
        <v>11</v>
      </c>
      <c r="I1179" s="5">
        <v>0</v>
      </c>
      <c r="J1179" s="4">
        <v>46058.524664351855</v>
      </c>
    </row>
    <row r="1180" spans="1:10" x14ac:dyDescent="0.2">
      <c r="A1180" s="2" t="s">
        <v>10</v>
      </c>
      <c r="B1180" s="3" t="str">
        <f t="shared" si="26"/>
        <v>Emailing Brochures aidants et patients</v>
      </c>
      <c r="C1180" s="3" t="str">
        <f>HYPERLINK("https://otsuka-europe-crm.veevavault.com/ui/#object/sent_email__v/VBL00000001A192", "SE-001402770")</f>
        <v>SE-001402770</v>
      </c>
      <c r="D1180" s="4" t="s">
        <v>11</v>
      </c>
      <c r="E1180" s="5">
        <v>0</v>
      </c>
      <c r="F1180" s="5">
        <v>0</v>
      </c>
      <c r="G1180" s="5">
        <v>0</v>
      </c>
      <c r="H1180" s="4" t="s">
        <v>11</v>
      </c>
      <c r="I1180" s="5">
        <v>0</v>
      </c>
      <c r="J1180" s="4">
        <v>46058.525856481479</v>
      </c>
    </row>
    <row r="1181" spans="1:10" x14ac:dyDescent="0.2">
      <c r="A1181" s="2" t="s">
        <v>10</v>
      </c>
      <c r="B1181" s="3" t="str">
        <f t="shared" si="26"/>
        <v>Emailing Brochures aidants et patients</v>
      </c>
      <c r="C1181" s="3" t="str">
        <f>HYPERLINK("https://otsuka-europe-crm.veevavault.com/ui/#object/sent_email__v/VBL00000001C089", "SE-001403094")</f>
        <v>SE-001403094</v>
      </c>
      <c r="D1181" s="4">
        <v>46066.385706018518</v>
      </c>
      <c r="E1181" s="5">
        <v>1</v>
      </c>
      <c r="F1181" s="5">
        <v>1</v>
      </c>
      <c r="G1181" s="5">
        <v>0</v>
      </c>
      <c r="H1181" s="4" t="s">
        <v>11</v>
      </c>
      <c r="I1181" s="5">
        <v>0</v>
      </c>
      <c r="J1181" s="4">
        <v>46059.680381944447</v>
      </c>
    </row>
    <row r="1182" spans="1:10" x14ac:dyDescent="0.2">
      <c r="A1182" s="2" t="s">
        <v>10</v>
      </c>
      <c r="B1182" s="3" t="str">
        <f t="shared" si="26"/>
        <v>Emailing Brochures aidants et patients</v>
      </c>
      <c r="C1182" s="3" t="str">
        <f>HYPERLINK("https://otsuka-europe-crm.veevavault.com/ui/#object/sent_email__v/VBL00000001C291", "SE-001403537")</f>
        <v>SE-001403537</v>
      </c>
      <c r="D1182" s="4" t="s">
        <v>11</v>
      </c>
      <c r="E1182" s="5">
        <v>0</v>
      </c>
      <c r="F1182" s="5">
        <v>0</v>
      </c>
      <c r="G1182" s="5">
        <v>0</v>
      </c>
      <c r="H1182" s="4" t="s">
        <v>11</v>
      </c>
      <c r="I1182" s="5">
        <v>0</v>
      </c>
      <c r="J1182" s="4">
        <v>46062.607430555552</v>
      </c>
    </row>
    <row r="1183" spans="1:10" x14ac:dyDescent="0.2">
      <c r="A1183" s="2" t="s">
        <v>10</v>
      </c>
      <c r="B1183" s="3" t="str">
        <f t="shared" si="26"/>
        <v>Emailing Brochures aidants et patients</v>
      </c>
      <c r="C1183" s="3" t="str">
        <f>HYPERLINK("https://otsuka-europe-crm.veevavault.com/ui/#object/sent_email__v/VBL00000001C393", "SE-001403721")</f>
        <v>SE-001403721</v>
      </c>
      <c r="D1183" s="4">
        <v>46066.449386574073</v>
      </c>
      <c r="E1183" s="5">
        <v>1</v>
      </c>
      <c r="F1183" s="5">
        <v>1</v>
      </c>
      <c r="G1183" s="5">
        <v>1</v>
      </c>
      <c r="H1183" s="4">
        <v>46066.449386574073</v>
      </c>
      <c r="I1183" s="5">
        <v>1</v>
      </c>
      <c r="J1183" s="4">
        <v>46064.471782407411</v>
      </c>
    </row>
    <row r="1184" spans="1:10" x14ac:dyDescent="0.2">
      <c r="A1184" s="2" t="s">
        <v>10</v>
      </c>
      <c r="B1184" s="3" t="str">
        <f t="shared" si="26"/>
        <v>Emailing Brochures aidants et patients</v>
      </c>
      <c r="C1184" s="3" t="str">
        <f>HYPERLINK("https://otsuka-europe-crm.veevavault.com/ui/#object/sent_email__v/VBL00000001C436", "SE-001403799")</f>
        <v>SE-001403799</v>
      </c>
      <c r="D1184" s="4" t="s">
        <v>11</v>
      </c>
      <c r="E1184" s="5">
        <v>0</v>
      </c>
      <c r="F1184" s="5">
        <v>0</v>
      </c>
      <c r="G1184" s="5">
        <v>0</v>
      </c>
      <c r="H1184" s="4" t="s">
        <v>11</v>
      </c>
      <c r="I1184" s="5">
        <v>0</v>
      </c>
      <c r="J1184" s="4">
        <v>46064.713807870372</v>
      </c>
    </row>
    <row r="1185" spans="1:10" x14ac:dyDescent="0.2">
      <c r="A1185" s="2" t="s">
        <v>10</v>
      </c>
      <c r="B1185" s="3" t="str">
        <f t="shared" si="26"/>
        <v>Emailing Brochures aidants et patients</v>
      </c>
      <c r="C1185" s="3" t="str">
        <f>HYPERLINK("https://otsuka-europe-crm.veevavault.com/ui/#object/sent_email__v/VBL00000001C437", "SE-001403800")</f>
        <v>SE-001403800</v>
      </c>
      <c r="D1185" s="4">
        <v>46066.180833333332</v>
      </c>
      <c r="E1185" s="5">
        <v>1</v>
      </c>
      <c r="F1185" s="5">
        <v>1</v>
      </c>
      <c r="G1185" s="5">
        <v>0</v>
      </c>
      <c r="H1185" s="4" t="s">
        <v>11</v>
      </c>
      <c r="I1185" s="5">
        <v>0</v>
      </c>
      <c r="J1185" s="4">
        <v>46064.714039351849</v>
      </c>
    </row>
    <row r="1186" spans="1:10" x14ac:dyDescent="0.2">
      <c r="A1186" s="2" t="s">
        <v>10</v>
      </c>
      <c r="B1186" s="3" t="str">
        <f t="shared" si="26"/>
        <v>Emailing Brochures aidants et patients</v>
      </c>
      <c r="C1186" s="3" t="str">
        <f>HYPERLINK("https://otsuka-europe-crm.veevavault.com/ui/#object/sent_email__v/VBL00000001C439", "SE-001403802")</f>
        <v>SE-001403802</v>
      </c>
      <c r="D1186" s="4">
        <v>46065.537152777775</v>
      </c>
      <c r="E1186" s="5">
        <v>1</v>
      </c>
      <c r="F1186" s="5">
        <v>4</v>
      </c>
      <c r="G1186" s="5">
        <v>0</v>
      </c>
      <c r="H1186" s="4" t="s">
        <v>11</v>
      </c>
      <c r="I1186" s="5">
        <v>0</v>
      </c>
      <c r="J1186" s="4">
        <v>46064.714456018519</v>
      </c>
    </row>
    <row r="1187" spans="1:10" x14ac:dyDescent="0.2">
      <c r="A1187" s="2" t="s">
        <v>10</v>
      </c>
      <c r="B1187" s="3" t="str">
        <f t="shared" si="26"/>
        <v>Emailing Brochures aidants et patients</v>
      </c>
      <c r="C1187" s="3" t="str">
        <f>HYPERLINK("https://otsuka-europe-crm.veevavault.com/ui/#object/sent_email__v/VBL00000001E132", "SE-001404156")</f>
        <v>SE-001404156</v>
      </c>
      <c r="D1187" s="4">
        <v>46076.422233796293</v>
      </c>
      <c r="E1187" s="5">
        <v>1</v>
      </c>
      <c r="F1187" s="5">
        <v>1</v>
      </c>
      <c r="G1187" s="5">
        <v>0</v>
      </c>
      <c r="H1187" s="4" t="s">
        <v>11</v>
      </c>
      <c r="I1187" s="5">
        <v>0</v>
      </c>
      <c r="J1187" s="4">
        <v>46069.534548611111</v>
      </c>
    </row>
    <row r="1188" spans="1:10" x14ac:dyDescent="0.2">
      <c r="A1188" s="2" t="s">
        <v>10</v>
      </c>
      <c r="B1188" s="3" t="str">
        <f t="shared" si="26"/>
        <v>Emailing Brochures aidants et patients</v>
      </c>
      <c r="C1188" s="3" t="str">
        <f>HYPERLINK("https://otsuka-europe-crm.veevavault.com/ui/#object/sent_email__v/VBL00000001D069", "SE-001404157")</f>
        <v>SE-001404157</v>
      </c>
      <c r="D1188" s="4" t="s">
        <v>11</v>
      </c>
      <c r="E1188" s="5">
        <v>0</v>
      </c>
      <c r="F1188" s="5">
        <v>0</v>
      </c>
      <c r="G1188" s="5">
        <v>0</v>
      </c>
      <c r="H1188" s="4" t="s">
        <v>11</v>
      </c>
      <c r="I1188" s="5">
        <v>0</v>
      </c>
      <c r="J1188" s="4">
        <v>46069.534884259258</v>
      </c>
    </row>
    <row r="1189" spans="1:10" x14ac:dyDescent="0.2">
      <c r="A1189" s="2" t="s">
        <v>10</v>
      </c>
      <c r="B1189" s="3" t="str">
        <f t="shared" si="26"/>
        <v>Emailing Brochures aidants et patients</v>
      </c>
      <c r="C1189" s="3" t="str">
        <f>HYPERLINK("https://otsuka-europe-crm.veevavault.com/ui/#object/sent_email__v/VBL00000001D070", "SE-001404158")</f>
        <v>SE-001404158</v>
      </c>
      <c r="D1189" s="4" t="s">
        <v>11</v>
      </c>
      <c r="E1189" s="5">
        <v>0</v>
      </c>
      <c r="F1189" s="5">
        <v>0</v>
      </c>
      <c r="G1189" s="5">
        <v>0</v>
      </c>
      <c r="H1189" s="4" t="s">
        <v>11</v>
      </c>
      <c r="I1189" s="5">
        <v>0</v>
      </c>
      <c r="J1189" s="4">
        <v>46069.535416666666</v>
      </c>
    </row>
    <row r="1190" spans="1:10" x14ac:dyDescent="0.2">
      <c r="A1190" s="2" t="s">
        <v>10</v>
      </c>
      <c r="B1190" s="3" t="str">
        <f t="shared" si="26"/>
        <v>Emailing Brochures aidants et patients</v>
      </c>
      <c r="C1190" s="3" t="str">
        <f>HYPERLINK("https://otsuka-europe-crm.veevavault.com/ui/#object/sent_email__v/VBL00000001D071", "SE-001404159")</f>
        <v>SE-001404159</v>
      </c>
      <c r="D1190" s="4" t="s">
        <v>11</v>
      </c>
      <c r="E1190" s="5">
        <v>0</v>
      </c>
      <c r="F1190" s="5">
        <v>0</v>
      </c>
      <c r="G1190" s="5">
        <v>0</v>
      </c>
      <c r="H1190" s="4" t="s">
        <v>11</v>
      </c>
      <c r="I1190" s="5">
        <v>0</v>
      </c>
      <c r="J1190" s="4">
        <v>46069.535740740743</v>
      </c>
    </row>
    <row r="1191" spans="1:10" x14ac:dyDescent="0.2">
      <c r="A1191" s="2" t="s">
        <v>10</v>
      </c>
      <c r="B1191" s="3" t="str">
        <f t="shared" si="26"/>
        <v>Emailing Brochures aidants et patients</v>
      </c>
      <c r="C1191" s="3" t="str">
        <f>HYPERLINK("https://otsuka-europe-crm.veevavault.com/ui/#object/sent_email__v/VBL00000001E133", "SE-001404161")</f>
        <v>SE-001404161</v>
      </c>
      <c r="D1191" s="4">
        <v>46069.769837962966</v>
      </c>
      <c r="E1191" s="5">
        <v>1</v>
      </c>
      <c r="F1191" s="5">
        <v>1</v>
      </c>
      <c r="G1191" s="5">
        <v>1</v>
      </c>
      <c r="H1191" s="4">
        <v>46069.769942129627</v>
      </c>
      <c r="I1191" s="5">
        <v>1</v>
      </c>
      <c r="J1191" s="4">
        <v>46069.537789351853</v>
      </c>
    </row>
    <row r="1192" spans="1:10" x14ac:dyDescent="0.2">
      <c r="A1192" s="2" t="s">
        <v>10</v>
      </c>
      <c r="B1192" s="3" t="str">
        <f t="shared" si="26"/>
        <v>Emailing Brochures aidants et patients</v>
      </c>
      <c r="C1192" s="3" t="str">
        <f>HYPERLINK("https://otsuka-europe-crm.veevavault.com/ui/#object/sent_email__v/VBL00000001E503", "SE-001405124")</f>
        <v>SE-001405124</v>
      </c>
      <c r="D1192" s="4" t="s">
        <v>11</v>
      </c>
      <c r="E1192" s="5">
        <v>0</v>
      </c>
      <c r="F1192" s="5">
        <v>0</v>
      </c>
      <c r="G1192" s="5">
        <v>0</v>
      </c>
      <c r="H1192" s="4" t="s">
        <v>11</v>
      </c>
      <c r="I1192" s="5">
        <v>0</v>
      </c>
      <c r="J1192" s="4">
        <v>46072.615891203706</v>
      </c>
    </row>
    <row r="1193" spans="1:10" x14ac:dyDescent="0.2">
      <c r="A1193" s="2" t="s">
        <v>10</v>
      </c>
      <c r="B1193" s="3" t="str">
        <f t="shared" si="26"/>
        <v>Emailing Brochures aidants et patients</v>
      </c>
      <c r="C1193" s="3" t="str">
        <f>HYPERLINK("https://otsuka-europe-crm.veevavault.com/ui/#object/sent_email__v/VBL00000001D691", "SE-001405126")</f>
        <v>SE-001405126</v>
      </c>
      <c r="D1193" s="4">
        <v>46075.769618055558</v>
      </c>
      <c r="E1193" s="5">
        <v>1</v>
      </c>
      <c r="F1193" s="5">
        <v>1</v>
      </c>
      <c r="G1193" s="5">
        <v>0</v>
      </c>
      <c r="H1193" s="4" t="s">
        <v>11</v>
      </c>
      <c r="I1193" s="5">
        <v>0</v>
      </c>
      <c r="J1193" s="4">
        <v>46072.639675925922</v>
      </c>
    </row>
    <row r="1194" spans="1:10" x14ac:dyDescent="0.2">
      <c r="A1194" s="2" t="s">
        <v>10</v>
      </c>
      <c r="B1194" s="3" t="str">
        <f t="shared" si="26"/>
        <v>Emailing Brochures aidants et patients</v>
      </c>
      <c r="C1194" s="3" t="str">
        <f>HYPERLINK("https://otsuka-europe-crm.veevavault.com/ui/#object/sent_email__v/VBL00000001D692", "SE-001405127")</f>
        <v>SE-001405127</v>
      </c>
      <c r="D1194" s="4">
        <v>46072.767453703702</v>
      </c>
      <c r="E1194" s="5">
        <v>1</v>
      </c>
      <c r="F1194" s="5">
        <v>2</v>
      </c>
      <c r="G1194" s="5">
        <v>0</v>
      </c>
      <c r="H1194" s="4" t="s">
        <v>11</v>
      </c>
      <c r="I1194" s="5">
        <v>0</v>
      </c>
      <c r="J1194" s="4">
        <v>46072.640115740738</v>
      </c>
    </row>
    <row r="1195" spans="1:10" x14ac:dyDescent="0.2">
      <c r="A1195" s="2" t="s">
        <v>10</v>
      </c>
      <c r="B1195" s="3" t="str">
        <f t="shared" si="26"/>
        <v>Emailing Brochures aidants et patients</v>
      </c>
      <c r="C1195" s="3" t="str">
        <f>HYPERLINK("https://otsuka-europe-crm.veevavault.com/ui/#object/sent_email__v/VBL00000001G236", "SE-001405434")</f>
        <v>SE-001405434</v>
      </c>
      <c r="D1195" s="4">
        <v>46077.765092592592</v>
      </c>
      <c r="E1195" s="5">
        <v>1</v>
      </c>
      <c r="F1195" s="5">
        <v>2</v>
      </c>
      <c r="G1195" s="5">
        <v>0</v>
      </c>
      <c r="H1195" s="4" t="s">
        <v>11</v>
      </c>
      <c r="I1195" s="5">
        <v>0</v>
      </c>
      <c r="J1195" s="4">
        <v>46073.659884259258</v>
      </c>
    </row>
    <row r="1196" spans="1:10" x14ac:dyDescent="0.2">
      <c r="A1196" s="2" t="s">
        <v>10</v>
      </c>
      <c r="B1196" s="3" t="str">
        <f t="shared" si="26"/>
        <v>Emailing Brochures aidants et patients</v>
      </c>
      <c r="C1196" s="3" t="str">
        <f>HYPERLINK("https://otsuka-europe-crm.veevavault.com/ui/#object/sent_email__v/VBL00000001G237", "SE-001405435")</f>
        <v>SE-001405435</v>
      </c>
      <c r="D1196" s="4">
        <v>46076.96166666667</v>
      </c>
      <c r="E1196" s="5">
        <v>1</v>
      </c>
      <c r="F1196" s="5">
        <v>1</v>
      </c>
      <c r="G1196" s="5">
        <v>0</v>
      </c>
      <c r="H1196" s="4" t="s">
        <v>11</v>
      </c>
      <c r="I1196" s="5">
        <v>0</v>
      </c>
      <c r="J1196" s="4">
        <v>46073.660127314812</v>
      </c>
    </row>
    <row r="1197" spans="1:10" x14ac:dyDescent="0.2">
      <c r="A1197" s="2" t="s">
        <v>10</v>
      </c>
      <c r="B1197" s="3" t="str">
        <f t="shared" si="26"/>
        <v>Emailing Brochures aidants et patients</v>
      </c>
      <c r="C1197" s="3" t="str">
        <f>HYPERLINK("https://otsuka-europe-crm.veevavault.com/ui/#object/sent_email__v/VBL00000001G463", "SE-001405747")</f>
        <v>SE-001405747</v>
      </c>
      <c r="D1197" s="4">
        <v>46076.667916666665</v>
      </c>
      <c r="E1197" s="5">
        <v>1</v>
      </c>
      <c r="F1197" s="5">
        <v>2</v>
      </c>
      <c r="G1197" s="5">
        <v>0</v>
      </c>
      <c r="H1197" s="4" t="s">
        <v>11</v>
      </c>
      <c r="I1197" s="5">
        <v>0</v>
      </c>
      <c r="J1197" s="4">
        <v>46076.655960648146</v>
      </c>
    </row>
    <row r="1198" spans="1:10" x14ac:dyDescent="0.2">
      <c r="A1198" s="2" t="s">
        <v>10</v>
      </c>
      <c r="B1198" s="3" t="str">
        <f t="shared" ref="B1198:B1203" si="27">HYPERLINK("https://otsuka-europe-crm.veevavault.com/ui/#object/approved_document__v/V5OZ04ASG4G28ZQ", "FR Veeva Double Opt-In Approved Email Receipt v3")</f>
        <v>FR Veeva Double Opt-In Approved Email Receipt v3</v>
      </c>
      <c r="C1198" s="3" t="str">
        <f>HYPERLINK("https://otsuka-europe-crm.veevavault.com/ui/#object/sent_email__v/VBLZ025E82GFHWL", "SE-000255380")</f>
        <v>SE-000255380</v>
      </c>
      <c r="D1198" s="4">
        <v>45905.631574074076</v>
      </c>
      <c r="E1198" s="5">
        <v>1</v>
      </c>
      <c r="F1198" s="5">
        <v>2</v>
      </c>
      <c r="G1198" s="5">
        <v>0</v>
      </c>
      <c r="H1198" s="4" t="s">
        <v>11</v>
      </c>
      <c r="I1198" s="5">
        <v>0</v>
      </c>
      <c r="J1198" s="4">
        <v>45904.619409722225</v>
      </c>
    </row>
    <row r="1199" spans="1:10" x14ac:dyDescent="0.2">
      <c r="A1199" s="2" t="s">
        <v>10</v>
      </c>
      <c r="B1199" s="3" t="str">
        <f t="shared" si="27"/>
        <v>FR Veeva Double Opt-In Approved Email Receipt v3</v>
      </c>
      <c r="C1199" s="3" t="str">
        <f>HYPERLINK("https://otsuka-europe-crm.veevavault.com/ui/#object/sent_email__v/VBLZ025E82GHXPP", "SE-000255545")</f>
        <v>SE-000255545</v>
      </c>
      <c r="D1199" s="4">
        <v>45910.440092592595</v>
      </c>
      <c r="E1199" s="5">
        <v>1</v>
      </c>
      <c r="F1199" s="5">
        <v>1</v>
      </c>
      <c r="G1199" s="5">
        <v>1</v>
      </c>
      <c r="H1199" s="4">
        <v>45910.484270833331</v>
      </c>
      <c r="I1199" s="5">
        <v>9</v>
      </c>
      <c r="J1199" s="4">
        <v>45908.665891203702</v>
      </c>
    </row>
    <row r="1200" spans="1:10" x14ac:dyDescent="0.2">
      <c r="A1200" s="2" t="s">
        <v>10</v>
      </c>
      <c r="B1200" s="3" t="str">
        <f t="shared" si="27"/>
        <v>FR Veeva Double Opt-In Approved Email Receipt v3</v>
      </c>
      <c r="C1200" s="3" t="str">
        <f>HYPERLINK("https://otsuka-europe-crm.veevavault.com/ui/#object/sent_email__v/VBLZ025E82GI4I5", "SE-000255558")</f>
        <v>SE-000255558</v>
      </c>
      <c r="D1200" s="4" t="s">
        <v>11</v>
      </c>
      <c r="E1200" s="5">
        <v>0</v>
      </c>
      <c r="F1200" s="5">
        <v>0</v>
      </c>
      <c r="G1200" s="5">
        <v>0</v>
      </c>
      <c r="H1200" s="4" t="s">
        <v>11</v>
      </c>
      <c r="I1200" s="5">
        <v>0</v>
      </c>
      <c r="J1200" s="4">
        <v>45908.784351851849</v>
      </c>
    </row>
    <row r="1201" spans="1:10" x14ac:dyDescent="0.2">
      <c r="A1201" s="2" t="s">
        <v>10</v>
      </c>
      <c r="B1201" s="3" t="str">
        <f t="shared" si="27"/>
        <v>FR Veeva Double Opt-In Approved Email Receipt v3</v>
      </c>
      <c r="C1201" s="3" t="str">
        <f>HYPERLINK("https://otsuka-europe-crm.veevavault.com/ui/#object/sent_email__v/VBLZ025E82GJSJ9", "SE-000255695")</f>
        <v>SE-000255695</v>
      </c>
      <c r="D1201" s="4" t="s">
        <v>11</v>
      </c>
      <c r="E1201" s="5">
        <v>0</v>
      </c>
      <c r="F1201" s="5">
        <v>0</v>
      </c>
      <c r="G1201" s="5">
        <v>0</v>
      </c>
      <c r="H1201" s="4" t="s">
        <v>11</v>
      </c>
      <c r="I1201" s="5">
        <v>0</v>
      </c>
      <c r="J1201" s="4">
        <v>45910.472303240742</v>
      </c>
    </row>
    <row r="1202" spans="1:10" x14ac:dyDescent="0.2">
      <c r="A1202" s="2" t="s">
        <v>10</v>
      </c>
      <c r="B1202" s="3" t="str">
        <f t="shared" si="27"/>
        <v>FR Veeva Double Opt-In Approved Email Receipt v3</v>
      </c>
      <c r="C1202" s="3" t="str">
        <f>HYPERLINK("https://otsuka-europe-crm.veevavault.com/ui/#object/sent_email__v/VBLZ025E82GJSUD", "SE-000255696")</f>
        <v>SE-000255696</v>
      </c>
      <c r="D1202" s="4">
        <v>45912.564085648148</v>
      </c>
      <c r="E1202" s="5">
        <v>1</v>
      </c>
      <c r="F1202" s="5">
        <v>1</v>
      </c>
      <c r="G1202" s="5">
        <v>1</v>
      </c>
      <c r="H1202" s="4">
        <v>45912.564664351848</v>
      </c>
      <c r="I1202" s="5">
        <v>3</v>
      </c>
      <c r="J1202" s="4">
        <v>45910.477141203701</v>
      </c>
    </row>
    <row r="1203" spans="1:10" x14ac:dyDescent="0.2">
      <c r="A1203" s="2" t="s">
        <v>10</v>
      </c>
      <c r="B1203" s="3" t="str">
        <f t="shared" si="27"/>
        <v>FR Veeva Double Opt-In Approved Email Receipt v3</v>
      </c>
      <c r="C1203" s="3" t="str">
        <f>HYPERLINK("https://otsuka-europe-crm.veevavault.com/ui/#object/sent_email__v/VBLZ025E82GKDOD", "SE-000255758")</f>
        <v>SE-000255758</v>
      </c>
      <c r="D1203" s="4" t="s">
        <v>11</v>
      </c>
      <c r="E1203" s="5">
        <v>0</v>
      </c>
      <c r="F1203" s="5">
        <v>0</v>
      </c>
      <c r="G1203" s="5">
        <v>0</v>
      </c>
      <c r="H1203" s="4" t="s">
        <v>11</v>
      </c>
      <c r="I1203" s="5">
        <v>0</v>
      </c>
      <c r="J1203" s="4">
        <v>45911.258819444447</v>
      </c>
    </row>
    <row r="1204" spans="1:10" x14ac:dyDescent="0.2">
      <c r="A1204" s="2" t="s">
        <v>10</v>
      </c>
      <c r="B1204" s="3" t="str">
        <f t="shared" ref="B1204:B1211" si="28">HYPERLINK("https://otsuka-europe-crm.veevavault.com/ui/#object/approved_document__v/V5OZ04ASG4G28ZP", "FR Veeva Double Opt-In Remote Meetings Email Receipt v3")</f>
        <v>FR Veeva Double Opt-In Remote Meetings Email Receipt v3</v>
      </c>
      <c r="C1204" s="3" t="str">
        <f>HYPERLINK("https://otsuka-europe-crm.veevavault.com/ui/#object/sent_email__v/VBLZ025E82GEPCT", "SE-000255231")</f>
        <v>SE-000255231</v>
      </c>
      <c r="D1204" s="4">
        <v>45903.871782407405</v>
      </c>
      <c r="E1204" s="5">
        <v>1</v>
      </c>
      <c r="F1204" s="5">
        <v>1</v>
      </c>
      <c r="G1204" s="5">
        <v>0</v>
      </c>
      <c r="H1204" s="4" t="s">
        <v>11</v>
      </c>
      <c r="I1204" s="5">
        <v>0</v>
      </c>
      <c r="J1204" s="4">
        <v>45903.849016203705</v>
      </c>
    </row>
    <row r="1205" spans="1:10" x14ac:dyDescent="0.2">
      <c r="A1205" s="2" t="s">
        <v>10</v>
      </c>
      <c r="B1205" s="3" t="str">
        <f t="shared" si="28"/>
        <v>FR Veeva Double Opt-In Remote Meetings Email Receipt v3</v>
      </c>
      <c r="C1205" s="3" t="str">
        <f>HYPERLINK("https://otsuka-europe-crm.veevavault.com/ui/#object/sent_email__v/VBLZ025E82GEPFL", "SE-000255232")</f>
        <v>SE-000255232</v>
      </c>
      <c r="D1205" s="4" t="s">
        <v>11</v>
      </c>
      <c r="E1205" s="5">
        <v>0</v>
      </c>
      <c r="F1205" s="5">
        <v>0</v>
      </c>
      <c r="G1205" s="5">
        <v>0</v>
      </c>
      <c r="H1205" s="4" t="s">
        <v>11</v>
      </c>
      <c r="I1205" s="5">
        <v>0</v>
      </c>
      <c r="J1205" s="4">
        <v>45903.856400462966</v>
      </c>
    </row>
    <row r="1206" spans="1:10" x14ac:dyDescent="0.2">
      <c r="A1206" s="2" t="s">
        <v>10</v>
      </c>
      <c r="B1206" s="3" t="str">
        <f t="shared" si="28"/>
        <v>FR Veeva Double Opt-In Remote Meetings Email Receipt v3</v>
      </c>
      <c r="C1206" s="3" t="str">
        <f>HYPERLINK("https://otsuka-europe-crm.veevavault.com/ui/#object/sent_email__v/VBLZ025E82GEPNX", "SE-000255233")</f>
        <v>SE-000255233</v>
      </c>
      <c r="D1206" s="4" t="s">
        <v>11</v>
      </c>
      <c r="E1206" s="5">
        <v>0</v>
      </c>
      <c r="F1206" s="5">
        <v>0</v>
      </c>
      <c r="G1206" s="5">
        <v>0</v>
      </c>
      <c r="H1206" s="4" t="s">
        <v>11</v>
      </c>
      <c r="I1206" s="5">
        <v>0</v>
      </c>
      <c r="J1206" s="4">
        <v>45903.861967592595</v>
      </c>
    </row>
    <row r="1207" spans="1:10" x14ac:dyDescent="0.2">
      <c r="A1207" s="2" t="s">
        <v>10</v>
      </c>
      <c r="B1207" s="3" t="str">
        <f t="shared" si="28"/>
        <v>FR Veeva Double Opt-In Remote Meetings Email Receipt v3</v>
      </c>
      <c r="C1207" s="3" t="str">
        <f>HYPERLINK("https://otsuka-europe-crm.veevavault.com/ui/#object/sent_email__v/VBLZ025E82GEPQP", "SE-000255234")</f>
        <v>SE-000255234</v>
      </c>
      <c r="D1207" s="4">
        <v>45903.869756944441</v>
      </c>
      <c r="E1207" s="5">
        <v>1</v>
      </c>
      <c r="F1207" s="5">
        <v>1</v>
      </c>
      <c r="G1207" s="5">
        <v>0</v>
      </c>
      <c r="H1207" s="4" t="s">
        <v>11</v>
      </c>
      <c r="I1207" s="5">
        <v>0</v>
      </c>
      <c r="J1207" s="4">
        <v>45903.862719907411</v>
      </c>
    </row>
    <row r="1208" spans="1:10" x14ac:dyDescent="0.2">
      <c r="A1208" s="2" t="s">
        <v>10</v>
      </c>
      <c r="B1208" s="3" t="str">
        <f t="shared" si="28"/>
        <v>FR Veeva Double Opt-In Remote Meetings Email Receipt v3</v>
      </c>
      <c r="C1208" s="3" t="str">
        <f>HYPERLINK("https://otsuka-europe-crm.veevavault.com/ui/#object/sent_email__v/VBLZ025E82GFHWM", "SE-000255381")</f>
        <v>SE-000255381</v>
      </c>
      <c r="D1208" s="4">
        <v>45905.631307870368</v>
      </c>
      <c r="E1208" s="5">
        <v>1</v>
      </c>
      <c r="F1208" s="5">
        <v>1</v>
      </c>
      <c r="G1208" s="5">
        <v>0</v>
      </c>
      <c r="H1208" s="4" t="s">
        <v>11</v>
      </c>
      <c r="I1208" s="5">
        <v>0</v>
      </c>
      <c r="J1208" s="4">
        <v>45904.619421296295</v>
      </c>
    </row>
    <row r="1209" spans="1:10" x14ac:dyDescent="0.2">
      <c r="A1209" s="2" t="s">
        <v>10</v>
      </c>
      <c r="B1209" s="3" t="str">
        <f t="shared" si="28"/>
        <v>FR Veeva Double Opt-In Remote Meetings Email Receipt v3</v>
      </c>
      <c r="C1209" s="3" t="str">
        <f>HYPERLINK("https://otsuka-europe-crm.veevavault.com/ui/#object/sent_email__v/VBLZ025E82GJSDP", "SE-000255694")</f>
        <v>SE-000255694</v>
      </c>
      <c r="D1209" s="4">
        <v>45910.478344907409</v>
      </c>
      <c r="E1209" s="5">
        <v>1</v>
      </c>
      <c r="F1209" s="5">
        <v>2</v>
      </c>
      <c r="G1209" s="5">
        <v>0</v>
      </c>
      <c r="H1209" s="4" t="s">
        <v>11</v>
      </c>
      <c r="I1209" s="5">
        <v>0</v>
      </c>
      <c r="J1209" s="4">
        <v>45910.471168981479</v>
      </c>
    </row>
    <row r="1210" spans="1:10" x14ac:dyDescent="0.2">
      <c r="A1210" s="2" t="s">
        <v>10</v>
      </c>
      <c r="B1210" s="3" t="str">
        <f t="shared" si="28"/>
        <v>FR Veeva Double Opt-In Remote Meetings Email Receipt v3</v>
      </c>
      <c r="C1210" s="3" t="str">
        <f>HYPERLINK("https://otsuka-europe-crm.veevavault.com/ui/#object/sent_email__v/VBLZ025E82GK3HP", "SE-000255710")</f>
        <v>SE-000255710</v>
      </c>
      <c r="D1210" s="4">
        <v>45910.657800925925</v>
      </c>
      <c r="E1210" s="5">
        <v>1</v>
      </c>
      <c r="F1210" s="5">
        <v>1</v>
      </c>
      <c r="G1210" s="5">
        <v>1</v>
      </c>
      <c r="H1210" s="4">
        <v>45910.658009259256</v>
      </c>
      <c r="I1210" s="5">
        <v>1</v>
      </c>
      <c r="J1210" s="4">
        <v>45910.643414351849</v>
      </c>
    </row>
    <row r="1211" spans="1:10" x14ac:dyDescent="0.2">
      <c r="A1211" s="2" t="s">
        <v>10</v>
      </c>
      <c r="B1211" s="3" t="str">
        <f t="shared" si="28"/>
        <v>FR Veeva Double Opt-In Remote Meetings Email Receipt v3</v>
      </c>
      <c r="C1211" s="3" t="str">
        <f>HYPERLINK("https://otsuka-europe-crm.veevavault.com/ui/#object/sent_email__v/VBLZ025E82GKDOF", "SE-000255760")</f>
        <v>SE-000255760</v>
      </c>
      <c r="D1211" s="4" t="s">
        <v>11</v>
      </c>
      <c r="E1211" s="5">
        <v>0</v>
      </c>
      <c r="F1211" s="5">
        <v>0</v>
      </c>
      <c r="G1211" s="5">
        <v>0</v>
      </c>
      <c r="H1211" s="4" t="s">
        <v>11</v>
      </c>
      <c r="I1211" s="5">
        <v>0</v>
      </c>
      <c r="J1211" s="4">
        <v>45911.258831018517</v>
      </c>
    </row>
    <row r="1212" spans="1:10" x14ac:dyDescent="0.2">
      <c r="A1212" s="2" t="s">
        <v>10</v>
      </c>
      <c r="B1212" s="3" t="str">
        <f>HYPERLINK("https://otsuka-europe-crm.veevavault.com/ui/#object/approved_document__v/V5OZ0000004WMIB", "FR Veeva Medical Inquiry Email Receipt v2")</f>
        <v>FR Veeva Medical Inquiry Email Receipt v2</v>
      </c>
      <c r="C1212" s="3" t="str">
        <f>HYPERLINK("https://otsuka-europe-crm.veevavault.com/ui/#object/sent_email__v/VBL000000015281", "SE-001400727")</f>
        <v>SE-001400727</v>
      </c>
      <c r="D1212" s="4" t="s">
        <v>11</v>
      </c>
      <c r="E1212" s="5">
        <v>0</v>
      </c>
      <c r="F1212" s="5">
        <v>0</v>
      </c>
      <c r="G1212" s="5">
        <v>0</v>
      </c>
      <c r="H1212" s="4" t="s">
        <v>11</v>
      </c>
      <c r="I1212" s="5">
        <v>0</v>
      </c>
      <c r="J1212" s="4">
        <v>46043.560613425929</v>
      </c>
    </row>
    <row r="1213" spans="1:10" x14ac:dyDescent="0.2">
      <c r="A1213" s="2" t="s">
        <v>10</v>
      </c>
      <c r="B1213" s="3" t="str">
        <f>HYPERLINK("https://otsuka-europe-crm.veevavault.com/ui/#object/approved_document__v/V5O00000000P003", "FR-AM2-2500027")</f>
        <v>FR-AM2-2500027</v>
      </c>
      <c r="C1213" s="3" t="str">
        <f>HYPERLINK("https://otsuka-europe-crm.veevavault.com/ui/#object/sent_email__v/VBL00000001D072", "SE-001404160")</f>
        <v>SE-001404160</v>
      </c>
      <c r="D1213" s="4" t="s">
        <v>11</v>
      </c>
      <c r="E1213" s="5">
        <v>0</v>
      </c>
      <c r="F1213" s="5">
        <v>0</v>
      </c>
      <c r="G1213" s="5">
        <v>0</v>
      </c>
      <c r="H1213" s="4" t="s">
        <v>11</v>
      </c>
      <c r="I1213" s="5">
        <v>0</v>
      </c>
      <c r="J1213" s="4">
        <v>46069.536585648151</v>
      </c>
    </row>
    <row r="1214" spans="1:10" x14ac:dyDescent="0.2">
      <c r="A1214" s="2" t="s">
        <v>10</v>
      </c>
      <c r="B1214" s="3" t="str">
        <f>HYPERLINK("https://otsuka-europe-crm.veevavault.com/ui/#object/approved_document__v/V5O00000000P003", "FR-AM2-2500027")</f>
        <v>FR-AM2-2500027</v>
      </c>
      <c r="C1214" s="3" t="str">
        <f>HYPERLINK("https://otsuka-europe-crm.veevavault.com/ui/#object/sent_email__v/VBL00000001E135", "SE-001404163")</f>
        <v>SE-001404163</v>
      </c>
      <c r="D1214" s="4" t="s">
        <v>11</v>
      </c>
      <c r="E1214" s="5">
        <v>0</v>
      </c>
      <c r="F1214" s="5">
        <v>0</v>
      </c>
      <c r="G1214" s="5">
        <v>0</v>
      </c>
      <c r="H1214" s="4" t="s">
        <v>11</v>
      </c>
      <c r="I1214" s="5">
        <v>0</v>
      </c>
      <c r="J1214" s="4">
        <v>46069.538912037038</v>
      </c>
    </row>
    <row r="1215" spans="1:10" x14ac:dyDescent="0.2">
      <c r="A1215" s="2" t="s">
        <v>10</v>
      </c>
      <c r="B1215" s="3" t="str">
        <f>HYPERLINK("https://otsuka-europe-crm.veevavault.com/ui/#object/approved_document__v/V5O00000000P003", "FR-AM2-2500027")</f>
        <v>FR-AM2-2500027</v>
      </c>
      <c r="C1215" s="3" t="str">
        <f>HYPERLINK("https://otsuka-europe-crm.veevavault.com/ui/#object/sent_email__v/VBL00000001D693", "SE-001405129")</f>
        <v>SE-001405129</v>
      </c>
      <c r="D1215" s="4">
        <v>46072.720914351848</v>
      </c>
      <c r="E1215" s="5">
        <v>1</v>
      </c>
      <c r="F1215" s="5">
        <v>1</v>
      </c>
      <c r="G1215" s="5">
        <v>0</v>
      </c>
      <c r="H1215" s="4" t="s">
        <v>11</v>
      </c>
      <c r="I1215" s="5">
        <v>0</v>
      </c>
      <c r="J1215" s="4">
        <v>46072.65425925926</v>
      </c>
    </row>
    <row r="1216" spans="1:10" x14ac:dyDescent="0.2">
      <c r="A1216" s="2" t="s">
        <v>10</v>
      </c>
      <c r="B1216" s="3" t="str">
        <f>HYPERLINK("https://otsuka-europe-crm.veevavault.com/ui/#object/approved_document__v/V5O00000000P003", "FR-AM2-2500027")</f>
        <v>FR-AM2-2500027</v>
      </c>
      <c r="C1216" s="3" t="str">
        <f>HYPERLINK("https://otsuka-europe-crm.veevavault.com/ui/#object/sent_email__v/VBL00000001G024", "SE-001405189")</f>
        <v>SE-001405189</v>
      </c>
      <c r="D1216" s="4">
        <v>46073.640370370369</v>
      </c>
      <c r="E1216" s="5">
        <v>1</v>
      </c>
      <c r="F1216" s="5">
        <v>2</v>
      </c>
      <c r="G1216" s="5">
        <v>0</v>
      </c>
      <c r="H1216" s="4" t="s">
        <v>11</v>
      </c>
      <c r="I1216" s="5">
        <v>0</v>
      </c>
      <c r="J1216" s="4">
        <v>46073.357060185182</v>
      </c>
    </row>
    <row r="1217" spans="1:10" x14ac:dyDescent="0.2">
      <c r="A1217" s="2" t="s">
        <v>10</v>
      </c>
      <c r="B1217" s="3" t="str">
        <f t="shared" ref="B1217:B1280" si="29">HYPERLINK("https://otsuka-europe-crm.veevavault.com/ui/#object/approved_document__v/V5OZ025E82TMV97", "France - HCP Survey Email - June 2025")</f>
        <v>France - HCP Survey Email - June 2025</v>
      </c>
      <c r="C1217" s="3" t="str">
        <f>HYPERLINK("https://otsuka-europe-crm.veevavault.com/ui/#object/sent_email__v/VBLZ025E82GNNVX", "SE-000272824")</f>
        <v>SE-000272824</v>
      </c>
      <c r="D1217" s="4" t="s">
        <v>11</v>
      </c>
      <c r="E1217" s="5">
        <v>0</v>
      </c>
      <c r="F1217" s="5">
        <v>0</v>
      </c>
      <c r="G1217" s="5">
        <v>0</v>
      </c>
      <c r="H1217" s="4" t="s">
        <v>11</v>
      </c>
      <c r="I1217" s="5">
        <v>0</v>
      </c>
      <c r="J1217" s="4">
        <v>45916.294756944444</v>
      </c>
    </row>
    <row r="1218" spans="1:10" x14ac:dyDescent="0.2">
      <c r="A1218" s="2" t="s">
        <v>10</v>
      </c>
      <c r="B1218" s="3" t="str">
        <f t="shared" si="29"/>
        <v>France - HCP Survey Email - June 2025</v>
      </c>
      <c r="C1218" s="3" t="str">
        <f>HYPERLINK("https://otsuka-europe-crm.veevavault.com/ui/#object/sent_email__v/VBLZ025E82GNNVY", "SE-000272825")</f>
        <v>SE-000272825</v>
      </c>
      <c r="D1218" s="4">
        <v>45916.917627314811</v>
      </c>
      <c r="E1218" s="5">
        <v>1</v>
      </c>
      <c r="F1218" s="5">
        <v>1</v>
      </c>
      <c r="G1218" s="5">
        <v>0</v>
      </c>
      <c r="H1218" s="4" t="s">
        <v>11</v>
      </c>
      <c r="I1218" s="5">
        <v>0</v>
      </c>
      <c r="J1218" s="4">
        <v>45916.294594907406</v>
      </c>
    </row>
    <row r="1219" spans="1:10" x14ac:dyDescent="0.2">
      <c r="A1219" s="2" t="s">
        <v>10</v>
      </c>
      <c r="B1219" s="3" t="str">
        <f t="shared" si="29"/>
        <v>France - HCP Survey Email - June 2025</v>
      </c>
      <c r="C1219" s="3" t="str">
        <f>HYPERLINK("https://otsuka-europe-crm.veevavault.com/ui/#object/sent_email__v/VBLZ025E82GNNVZ", "SE-000272826")</f>
        <v>SE-000272826</v>
      </c>
      <c r="D1219" s="4" t="s">
        <v>11</v>
      </c>
      <c r="E1219" s="5">
        <v>0</v>
      </c>
      <c r="F1219" s="5">
        <v>0</v>
      </c>
      <c r="G1219" s="5">
        <v>0</v>
      </c>
      <c r="H1219" s="4" t="s">
        <v>11</v>
      </c>
      <c r="I1219" s="5">
        <v>0</v>
      </c>
      <c r="J1219" s="4">
        <v>45916.294456018521</v>
      </c>
    </row>
    <row r="1220" spans="1:10" x14ac:dyDescent="0.2">
      <c r="A1220" s="2" t="s">
        <v>10</v>
      </c>
      <c r="B1220" s="3" t="str">
        <f t="shared" si="29"/>
        <v>France - HCP Survey Email - June 2025</v>
      </c>
      <c r="C1220" s="3" t="str">
        <f>HYPERLINK("https://otsuka-europe-crm.veevavault.com/ui/#object/sent_email__v/VBLZ025E82GNNW0", "SE-000272827")</f>
        <v>SE-000272827</v>
      </c>
      <c r="D1220" s="4" t="s">
        <v>11</v>
      </c>
      <c r="E1220" s="5">
        <v>0</v>
      </c>
      <c r="F1220" s="5">
        <v>0</v>
      </c>
      <c r="G1220" s="5">
        <v>0</v>
      </c>
      <c r="H1220" s="4" t="s">
        <v>11</v>
      </c>
      <c r="I1220" s="5">
        <v>0</v>
      </c>
      <c r="J1220" s="4">
        <v>45916.294236111113</v>
      </c>
    </row>
    <row r="1221" spans="1:10" x14ac:dyDescent="0.2">
      <c r="A1221" s="2" t="s">
        <v>10</v>
      </c>
      <c r="B1221" s="3" t="str">
        <f t="shared" si="29"/>
        <v>France - HCP Survey Email - June 2025</v>
      </c>
      <c r="C1221" s="3" t="str">
        <f>HYPERLINK("https://otsuka-europe-crm.veevavault.com/ui/#object/sent_email__v/VBLZ025E82GNNW1", "SE-000272828")</f>
        <v>SE-000272828</v>
      </c>
      <c r="D1221" s="4">
        <v>45916.383217592593</v>
      </c>
      <c r="E1221" s="5">
        <v>1</v>
      </c>
      <c r="F1221" s="5">
        <v>1</v>
      </c>
      <c r="G1221" s="5">
        <v>1</v>
      </c>
      <c r="H1221" s="4">
        <v>45916.383217592593</v>
      </c>
      <c r="I1221" s="5">
        <v>1</v>
      </c>
      <c r="J1221" s="4">
        <v>45916.294849537036</v>
      </c>
    </row>
    <row r="1222" spans="1:10" x14ac:dyDescent="0.2">
      <c r="A1222" s="2" t="s">
        <v>10</v>
      </c>
      <c r="B1222" s="3" t="str">
        <f t="shared" si="29"/>
        <v>France - HCP Survey Email - June 2025</v>
      </c>
      <c r="C1222" s="3" t="str">
        <f>HYPERLINK("https://otsuka-europe-crm.veevavault.com/ui/#object/sent_email__v/VBLZ025E82GNNW2", "SE-000272829")</f>
        <v>SE-000272829</v>
      </c>
      <c r="D1222" s="4" t="s">
        <v>11</v>
      </c>
      <c r="E1222" s="5">
        <v>0</v>
      </c>
      <c r="F1222" s="5">
        <v>0</v>
      </c>
      <c r="G1222" s="5">
        <v>0</v>
      </c>
      <c r="H1222" s="4" t="s">
        <v>11</v>
      </c>
      <c r="I1222" s="5">
        <v>0</v>
      </c>
      <c r="J1222" s="4">
        <v>45916.294641203705</v>
      </c>
    </row>
    <row r="1223" spans="1:10" x14ac:dyDescent="0.2">
      <c r="A1223" s="2" t="s">
        <v>10</v>
      </c>
      <c r="B1223" s="3" t="str">
        <f t="shared" si="29"/>
        <v>France - HCP Survey Email - June 2025</v>
      </c>
      <c r="C1223" s="3" t="str">
        <f>HYPERLINK("https://otsuka-europe-crm.veevavault.com/ui/#object/sent_email__v/VBLZ025E82GNNW3", "SE-000272830")</f>
        <v>SE-000272830</v>
      </c>
      <c r="D1223" s="4" t="s">
        <v>11</v>
      </c>
      <c r="E1223" s="5">
        <v>0</v>
      </c>
      <c r="F1223" s="5">
        <v>0</v>
      </c>
      <c r="G1223" s="5">
        <v>0</v>
      </c>
      <c r="H1223" s="4" t="s">
        <v>11</v>
      </c>
      <c r="I1223" s="5">
        <v>0</v>
      </c>
      <c r="J1223" s="4">
        <v>45916.294456018521</v>
      </c>
    </row>
    <row r="1224" spans="1:10" x14ac:dyDescent="0.2">
      <c r="A1224" s="2" t="s">
        <v>10</v>
      </c>
      <c r="B1224" s="3" t="str">
        <f t="shared" si="29"/>
        <v>France - HCP Survey Email - June 2025</v>
      </c>
      <c r="C1224" s="3" t="str">
        <f>HYPERLINK("https://otsuka-europe-crm.veevavault.com/ui/#object/sent_email__v/VBLZ025E82GNNW4", "SE-000272831")</f>
        <v>SE-000272831</v>
      </c>
      <c r="D1224" s="4" t="s">
        <v>11</v>
      </c>
      <c r="E1224" s="5">
        <v>0</v>
      </c>
      <c r="F1224" s="5">
        <v>0</v>
      </c>
      <c r="G1224" s="5">
        <v>0</v>
      </c>
      <c r="H1224" s="4" t="s">
        <v>11</v>
      </c>
      <c r="I1224" s="5">
        <v>0</v>
      </c>
      <c r="J1224" s="4">
        <v>45916.294270833336</v>
      </c>
    </row>
    <row r="1225" spans="1:10" x14ac:dyDescent="0.2">
      <c r="A1225" s="2" t="s">
        <v>10</v>
      </c>
      <c r="B1225" s="3" t="str">
        <f t="shared" si="29"/>
        <v>France - HCP Survey Email - June 2025</v>
      </c>
      <c r="C1225" s="3" t="str">
        <f>HYPERLINK("https://otsuka-europe-crm.veevavault.com/ui/#object/sent_email__v/VBLZ025E82GNNW5", "SE-000272832")</f>
        <v>SE-000272832</v>
      </c>
      <c r="D1225" s="4">
        <v>45929.460798611108</v>
      </c>
      <c r="E1225" s="5">
        <v>1</v>
      </c>
      <c r="F1225" s="5">
        <v>2</v>
      </c>
      <c r="G1225" s="5">
        <v>0</v>
      </c>
      <c r="H1225" s="4" t="s">
        <v>11</v>
      </c>
      <c r="I1225" s="5">
        <v>0</v>
      </c>
      <c r="J1225" s="4">
        <v>45916.29488425926</v>
      </c>
    </row>
    <row r="1226" spans="1:10" x14ac:dyDescent="0.2">
      <c r="A1226" s="2" t="s">
        <v>10</v>
      </c>
      <c r="B1226" s="3" t="str">
        <f t="shared" si="29"/>
        <v>France - HCP Survey Email - June 2025</v>
      </c>
      <c r="C1226" s="3" t="str">
        <f>HYPERLINK("https://otsuka-europe-crm.veevavault.com/ui/#object/sent_email__v/VBLZ025E82GNNW6", "SE-000272833")</f>
        <v>SE-000272833</v>
      </c>
      <c r="D1226" s="4" t="s">
        <v>11</v>
      </c>
      <c r="E1226" s="5">
        <v>0</v>
      </c>
      <c r="F1226" s="5">
        <v>0</v>
      </c>
      <c r="G1226" s="5">
        <v>0</v>
      </c>
      <c r="H1226" s="4" t="s">
        <v>11</v>
      </c>
      <c r="I1226" s="5">
        <v>0</v>
      </c>
      <c r="J1226" s="4">
        <v>45916.29451388889</v>
      </c>
    </row>
    <row r="1227" spans="1:10" x14ac:dyDescent="0.2">
      <c r="A1227" s="2" t="s">
        <v>10</v>
      </c>
      <c r="B1227" s="3" t="str">
        <f t="shared" si="29"/>
        <v>France - HCP Survey Email - June 2025</v>
      </c>
      <c r="C1227" s="3" t="str">
        <f>HYPERLINK("https://otsuka-europe-crm.veevavault.com/ui/#object/sent_email__v/VBLZ025E82GNNW7", "SE-000272834")</f>
        <v>SE-000272834</v>
      </c>
      <c r="D1227" s="4" t="s">
        <v>11</v>
      </c>
      <c r="E1227" s="5">
        <v>0</v>
      </c>
      <c r="F1227" s="5">
        <v>0</v>
      </c>
      <c r="G1227" s="5">
        <v>0</v>
      </c>
      <c r="H1227" s="4" t="s">
        <v>11</v>
      </c>
      <c r="I1227" s="5">
        <v>0</v>
      </c>
      <c r="J1227" s="4">
        <v>45916.294317129628</v>
      </c>
    </row>
    <row r="1228" spans="1:10" x14ac:dyDescent="0.2">
      <c r="A1228" s="2" t="s">
        <v>10</v>
      </c>
      <c r="B1228" s="3" t="str">
        <f t="shared" si="29"/>
        <v>France - HCP Survey Email - June 2025</v>
      </c>
      <c r="C1228" s="3" t="str">
        <f>HYPERLINK("https://otsuka-europe-crm.veevavault.com/ui/#object/sent_email__v/VBLZ025E82GNNW8", "SE-000272835")</f>
        <v>SE-000272835</v>
      </c>
      <c r="D1228" s="4" t="s">
        <v>11</v>
      </c>
      <c r="E1228" s="5">
        <v>0</v>
      </c>
      <c r="F1228" s="5">
        <v>0</v>
      </c>
      <c r="G1228" s="5">
        <v>0</v>
      </c>
      <c r="H1228" s="4" t="s">
        <v>11</v>
      </c>
      <c r="I1228" s="5">
        <v>0</v>
      </c>
      <c r="J1228" s="4">
        <v>45916.294872685183</v>
      </c>
    </row>
    <row r="1229" spans="1:10" x14ac:dyDescent="0.2">
      <c r="A1229" s="2" t="s">
        <v>10</v>
      </c>
      <c r="B1229" s="3" t="str">
        <f t="shared" si="29"/>
        <v>France - HCP Survey Email - June 2025</v>
      </c>
      <c r="C1229" s="3" t="str">
        <f>HYPERLINK("https://otsuka-europe-crm.veevavault.com/ui/#object/sent_email__v/VBLZ025E82GNNW9", "SE-000272836")</f>
        <v>SE-000272836</v>
      </c>
      <c r="D1229" s="4">
        <v>45919.422858796293</v>
      </c>
      <c r="E1229" s="5">
        <v>1</v>
      </c>
      <c r="F1229" s="5">
        <v>1</v>
      </c>
      <c r="G1229" s="5">
        <v>1</v>
      </c>
      <c r="H1229" s="4">
        <v>45919.423275462963</v>
      </c>
      <c r="I1229" s="5">
        <v>3</v>
      </c>
      <c r="J1229" s="4">
        <v>45916.29488425926</v>
      </c>
    </row>
    <row r="1230" spans="1:10" x14ac:dyDescent="0.2">
      <c r="A1230" s="2" t="s">
        <v>10</v>
      </c>
      <c r="B1230" s="3" t="str">
        <f t="shared" si="29"/>
        <v>France - HCP Survey Email - June 2025</v>
      </c>
      <c r="C1230" s="3" t="str">
        <f>HYPERLINK("https://otsuka-europe-crm.veevavault.com/ui/#object/sent_email__v/VBLZ025E82GNNWA", "SE-000272837")</f>
        <v>SE-000272837</v>
      </c>
      <c r="D1230" s="4" t="s">
        <v>11</v>
      </c>
      <c r="E1230" s="5">
        <v>0</v>
      </c>
      <c r="F1230" s="5">
        <v>0</v>
      </c>
      <c r="G1230" s="5">
        <v>0</v>
      </c>
      <c r="H1230" s="4" t="s">
        <v>11</v>
      </c>
      <c r="I1230" s="5">
        <v>0</v>
      </c>
      <c r="J1230" s="4">
        <v>45916.294479166667</v>
      </c>
    </row>
    <row r="1231" spans="1:10" x14ac:dyDescent="0.2">
      <c r="A1231" s="2" t="s">
        <v>10</v>
      </c>
      <c r="B1231" s="3" t="str">
        <f t="shared" si="29"/>
        <v>France - HCP Survey Email - June 2025</v>
      </c>
      <c r="C1231" s="3" t="str">
        <f>HYPERLINK("https://otsuka-europe-crm.veevavault.com/ui/#object/sent_email__v/VBLZ025E82GNNWB", "SE-000272838")</f>
        <v>SE-000272838</v>
      </c>
      <c r="D1231" s="4" t="s">
        <v>11</v>
      </c>
      <c r="E1231" s="5">
        <v>0</v>
      </c>
      <c r="F1231" s="5">
        <v>0</v>
      </c>
      <c r="G1231" s="5">
        <v>0</v>
      </c>
      <c r="H1231" s="4" t="s">
        <v>11</v>
      </c>
      <c r="I1231" s="5">
        <v>0</v>
      </c>
      <c r="J1231" s="4">
        <v>45916.294259259259</v>
      </c>
    </row>
    <row r="1232" spans="1:10" x14ac:dyDescent="0.2">
      <c r="A1232" s="2" t="s">
        <v>10</v>
      </c>
      <c r="B1232" s="3" t="str">
        <f t="shared" si="29"/>
        <v>France - HCP Survey Email - June 2025</v>
      </c>
      <c r="C1232" s="3" t="str">
        <f>HYPERLINK("https://otsuka-europe-crm.veevavault.com/ui/#object/sent_email__v/VBLZ025E82GNNWC", "SE-000272839")</f>
        <v>SE-000272839</v>
      </c>
      <c r="D1232" s="4">
        <v>45916.303298611114</v>
      </c>
      <c r="E1232" s="5">
        <v>1</v>
      </c>
      <c r="F1232" s="5">
        <v>2</v>
      </c>
      <c r="G1232" s="5">
        <v>0</v>
      </c>
      <c r="H1232" s="4" t="s">
        <v>11</v>
      </c>
      <c r="I1232" s="5">
        <v>0</v>
      </c>
      <c r="J1232" s="4">
        <v>45916.294791666667</v>
      </c>
    </row>
    <row r="1233" spans="1:10" x14ac:dyDescent="0.2">
      <c r="A1233" s="2" t="s">
        <v>10</v>
      </c>
      <c r="B1233" s="3" t="str">
        <f t="shared" si="29"/>
        <v>France - HCP Survey Email - June 2025</v>
      </c>
      <c r="C1233" s="3" t="str">
        <f>HYPERLINK("https://otsuka-europe-crm.veevavault.com/ui/#object/sent_email__v/VBLZ025E82GNNWD", "SE-000272840")</f>
        <v>SE-000272840</v>
      </c>
      <c r="D1233" s="4" t="s">
        <v>11</v>
      </c>
      <c r="E1233" s="5">
        <v>0</v>
      </c>
      <c r="F1233" s="5">
        <v>0</v>
      </c>
      <c r="G1233" s="5">
        <v>0</v>
      </c>
      <c r="H1233" s="4" t="s">
        <v>11</v>
      </c>
      <c r="I1233" s="5">
        <v>0</v>
      </c>
      <c r="J1233" s="4">
        <v>45916.294618055559</v>
      </c>
    </row>
    <row r="1234" spans="1:10" x14ac:dyDescent="0.2">
      <c r="A1234" s="2" t="s">
        <v>10</v>
      </c>
      <c r="B1234" s="3" t="str">
        <f t="shared" si="29"/>
        <v>France - HCP Survey Email - June 2025</v>
      </c>
      <c r="C1234" s="3" t="str">
        <f>HYPERLINK("https://otsuka-europe-crm.veevavault.com/ui/#object/sent_email__v/VBLZ025E82GNNWF", "SE-000272842")</f>
        <v>SE-000272842</v>
      </c>
      <c r="D1234" s="4" t="s">
        <v>11</v>
      </c>
      <c r="E1234" s="5">
        <v>0</v>
      </c>
      <c r="F1234" s="5">
        <v>0</v>
      </c>
      <c r="G1234" s="5">
        <v>0</v>
      </c>
      <c r="H1234" s="4" t="s">
        <v>11</v>
      </c>
      <c r="I1234" s="5">
        <v>0</v>
      </c>
      <c r="J1234" s="4">
        <v>45916.294236111113</v>
      </c>
    </row>
    <row r="1235" spans="1:10" x14ac:dyDescent="0.2">
      <c r="A1235" s="2" t="s">
        <v>10</v>
      </c>
      <c r="B1235" s="3" t="str">
        <f t="shared" si="29"/>
        <v>France - HCP Survey Email - June 2025</v>
      </c>
      <c r="C1235" s="3" t="str">
        <f>HYPERLINK("https://otsuka-europe-crm.veevavault.com/ui/#object/sent_email__v/VBLZ025E82GNNWH", "SE-000272844")</f>
        <v>SE-000272844</v>
      </c>
      <c r="D1235" s="4" t="s">
        <v>11</v>
      </c>
      <c r="E1235" s="5">
        <v>0</v>
      </c>
      <c r="F1235" s="5">
        <v>0</v>
      </c>
      <c r="G1235" s="5">
        <v>0</v>
      </c>
      <c r="H1235" s="4" t="s">
        <v>11</v>
      </c>
      <c r="I1235" s="5">
        <v>0</v>
      </c>
      <c r="J1235" s="4">
        <v>45916.294594907406</v>
      </c>
    </row>
    <row r="1236" spans="1:10" x14ac:dyDescent="0.2">
      <c r="A1236" s="2" t="s">
        <v>10</v>
      </c>
      <c r="B1236" s="3" t="str">
        <f t="shared" si="29"/>
        <v>France - HCP Survey Email - June 2025</v>
      </c>
      <c r="C1236" s="3" t="str">
        <f>HYPERLINK("https://otsuka-europe-crm.veevavault.com/ui/#object/sent_email__v/VBLZ025E82GNNWI", "SE-000272845")</f>
        <v>SE-000272845</v>
      </c>
      <c r="D1236" s="4" t="s">
        <v>11</v>
      </c>
      <c r="E1236" s="5">
        <v>0</v>
      </c>
      <c r="F1236" s="5">
        <v>0</v>
      </c>
      <c r="G1236" s="5">
        <v>0</v>
      </c>
      <c r="H1236" s="4" t="s">
        <v>11</v>
      </c>
      <c r="I1236" s="5">
        <v>0</v>
      </c>
      <c r="J1236" s="4">
        <v>45916.294270833336</v>
      </c>
    </row>
    <row r="1237" spans="1:10" x14ac:dyDescent="0.2">
      <c r="A1237" s="2" t="s">
        <v>10</v>
      </c>
      <c r="B1237" s="3" t="str">
        <f t="shared" si="29"/>
        <v>France - HCP Survey Email - June 2025</v>
      </c>
      <c r="C1237" s="3" t="str">
        <f>HYPERLINK("https://otsuka-europe-crm.veevavault.com/ui/#object/sent_email__v/VBLZ025E82GNNWJ", "SE-000272846")</f>
        <v>SE-000272846</v>
      </c>
      <c r="D1237" s="4" t="s">
        <v>11</v>
      </c>
      <c r="E1237" s="5">
        <v>0</v>
      </c>
      <c r="F1237" s="5">
        <v>0</v>
      </c>
      <c r="G1237" s="5">
        <v>0</v>
      </c>
      <c r="H1237" s="4" t="s">
        <v>11</v>
      </c>
      <c r="I1237" s="5">
        <v>0</v>
      </c>
      <c r="J1237" s="4">
        <v>45916.295034722221</v>
      </c>
    </row>
    <row r="1238" spans="1:10" x14ac:dyDescent="0.2">
      <c r="A1238" s="2" t="s">
        <v>10</v>
      </c>
      <c r="B1238" s="3" t="str">
        <f t="shared" si="29"/>
        <v>France - HCP Survey Email - June 2025</v>
      </c>
      <c r="C1238" s="3" t="str">
        <f>HYPERLINK("https://otsuka-europe-crm.veevavault.com/ui/#object/sent_email__v/VBLZ025E82GNNWK", "SE-000272847")</f>
        <v>SE-000272847</v>
      </c>
      <c r="D1238" s="4" t="s">
        <v>11</v>
      </c>
      <c r="E1238" s="5">
        <v>0</v>
      </c>
      <c r="F1238" s="5">
        <v>0</v>
      </c>
      <c r="G1238" s="5">
        <v>0</v>
      </c>
      <c r="H1238" s="4" t="s">
        <v>11</v>
      </c>
      <c r="I1238" s="5">
        <v>0</v>
      </c>
      <c r="J1238" s="4">
        <v>45916.294768518521</v>
      </c>
    </row>
    <row r="1239" spans="1:10" x14ac:dyDescent="0.2">
      <c r="A1239" s="2" t="s">
        <v>10</v>
      </c>
      <c r="B1239" s="3" t="str">
        <f t="shared" si="29"/>
        <v>France - HCP Survey Email - June 2025</v>
      </c>
      <c r="C1239" s="3" t="str">
        <f>HYPERLINK("https://otsuka-europe-crm.veevavault.com/ui/#object/sent_email__v/VBLZ025E82GNNWL", "SE-000272848")</f>
        <v>SE-000272848</v>
      </c>
      <c r="D1239" s="4" t="s">
        <v>11</v>
      </c>
      <c r="E1239" s="5">
        <v>0</v>
      </c>
      <c r="F1239" s="5">
        <v>0</v>
      </c>
      <c r="G1239" s="5">
        <v>0</v>
      </c>
      <c r="H1239" s="4" t="s">
        <v>11</v>
      </c>
      <c r="I1239" s="5">
        <v>0</v>
      </c>
      <c r="J1239" s="4">
        <v>45916.294571759259</v>
      </c>
    </row>
    <row r="1240" spans="1:10" x14ac:dyDescent="0.2">
      <c r="A1240" s="2" t="s">
        <v>10</v>
      </c>
      <c r="B1240" s="3" t="str">
        <f t="shared" si="29"/>
        <v>France - HCP Survey Email - June 2025</v>
      </c>
      <c r="C1240" s="3" t="str">
        <f>HYPERLINK("https://otsuka-europe-crm.veevavault.com/ui/#object/sent_email__v/VBLZ025E82GNNWM", "SE-000272849")</f>
        <v>SE-000272849</v>
      </c>
      <c r="D1240" s="4" t="s">
        <v>11</v>
      </c>
      <c r="E1240" s="5">
        <v>0</v>
      </c>
      <c r="F1240" s="5">
        <v>0</v>
      </c>
      <c r="G1240" s="5">
        <v>0</v>
      </c>
      <c r="H1240" s="4" t="s">
        <v>11</v>
      </c>
      <c r="I1240" s="5">
        <v>0</v>
      </c>
      <c r="J1240" s="4">
        <v>45916.294270833336</v>
      </c>
    </row>
    <row r="1241" spans="1:10" x14ac:dyDescent="0.2">
      <c r="A1241" s="2" t="s">
        <v>10</v>
      </c>
      <c r="B1241" s="3" t="str">
        <f t="shared" si="29"/>
        <v>France - HCP Survey Email - June 2025</v>
      </c>
      <c r="C1241" s="3" t="str">
        <f>HYPERLINK("https://otsuka-europe-crm.veevavault.com/ui/#object/sent_email__v/VBLZ025E82GNNWN", "SE-000272850")</f>
        <v>SE-000272850</v>
      </c>
      <c r="D1241" s="4" t="s">
        <v>11</v>
      </c>
      <c r="E1241" s="5">
        <v>0</v>
      </c>
      <c r="F1241" s="5">
        <v>0</v>
      </c>
      <c r="G1241" s="5">
        <v>0</v>
      </c>
      <c r="H1241" s="4" t="s">
        <v>11</v>
      </c>
      <c r="I1241" s="5">
        <v>0</v>
      </c>
      <c r="J1241" s="4">
        <v>45916.294872685183</v>
      </c>
    </row>
    <row r="1242" spans="1:10" x14ac:dyDescent="0.2">
      <c r="A1242" s="2" t="s">
        <v>10</v>
      </c>
      <c r="B1242" s="3" t="str">
        <f t="shared" si="29"/>
        <v>France - HCP Survey Email - June 2025</v>
      </c>
      <c r="C1242" s="3" t="str">
        <f>HYPERLINK("https://otsuka-europe-crm.veevavault.com/ui/#object/sent_email__v/VBLZ025E82GNNWP", "SE-000272852")</f>
        <v>SE-000272852</v>
      </c>
      <c r="D1242" s="4" t="s">
        <v>11</v>
      </c>
      <c r="E1242" s="5">
        <v>0</v>
      </c>
      <c r="F1242" s="5">
        <v>0</v>
      </c>
      <c r="G1242" s="5">
        <v>0</v>
      </c>
      <c r="H1242" s="4" t="s">
        <v>11</v>
      </c>
      <c r="I1242" s="5">
        <v>0</v>
      </c>
      <c r="J1242" s="4">
        <v>45916.294444444444</v>
      </c>
    </row>
    <row r="1243" spans="1:10" x14ac:dyDescent="0.2">
      <c r="A1243" s="2" t="s">
        <v>10</v>
      </c>
      <c r="B1243" s="3" t="str">
        <f t="shared" si="29"/>
        <v>France - HCP Survey Email - June 2025</v>
      </c>
      <c r="C1243" s="3" t="str">
        <f>HYPERLINK("https://otsuka-europe-crm.veevavault.com/ui/#object/sent_email__v/VBLZ025E82GNNWQ", "SE-000272853")</f>
        <v>SE-000272853</v>
      </c>
      <c r="D1243" s="4" t="s">
        <v>11</v>
      </c>
      <c r="E1243" s="5">
        <v>0</v>
      </c>
      <c r="F1243" s="5">
        <v>0</v>
      </c>
      <c r="G1243" s="5">
        <v>0</v>
      </c>
      <c r="H1243" s="4" t="s">
        <v>11</v>
      </c>
      <c r="I1243" s="5">
        <v>0</v>
      </c>
      <c r="J1243" s="4">
        <v>45916.294236111113</v>
      </c>
    </row>
    <row r="1244" spans="1:10" x14ac:dyDescent="0.2">
      <c r="A1244" s="2" t="s">
        <v>10</v>
      </c>
      <c r="B1244" s="3" t="str">
        <f t="shared" si="29"/>
        <v>France - HCP Survey Email - June 2025</v>
      </c>
      <c r="C1244" s="3" t="str">
        <f>HYPERLINK("https://otsuka-europe-crm.veevavault.com/ui/#object/sent_email__v/VBLZ025E82GNNWR", "SE-000272854")</f>
        <v>SE-000272854</v>
      </c>
      <c r="D1244" s="4">
        <v>45916.305925925924</v>
      </c>
      <c r="E1244" s="5">
        <v>1</v>
      </c>
      <c r="F1244" s="5">
        <v>1</v>
      </c>
      <c r="G1244" s="5">
        <v>0</v>
      </c>
      <c r="H1244" s="4" t="s">
        <v>11</v>
      </c>
      <c r="I1244" s="5">
        <v>0</v>
      </c>
      <c r="J1244" s="4">
        <v>45916.294687499998</v>
      </c>
    </row>
    <row r="1245" spans="1:10" x14ac:dyDescent="0.2">
      <c r="A1245" s="2" t="s">
        <v>10</v>
      </c>
      <c r="B1245" s="3" t="str">
        <f t="shared" si="29"/>
        <v>France - HCP Survey Email - June 2025</v>
      </c>
      <c r="C1245" s="3" t="str">
        <f>HYPERLINK("https://otsuka-europe-crm.veevavault.com/ui/#object/sent_email__v/VBLZ025E82GNNWS", "SE-000272855")</f>
        <v>SE-000272855</v>
      </c>
      <c r="D1245" s="4" t="s">
        <v>11</v>
      </c>
      <c r="E1245" s="5">
        <v>0</v>
      </c>
      <c r="F1245" s="5">
        <v>0</v>
      </c>
      <c r="G1245" s="5">
        <v>0</v>
      </c>
      <c r="H1245" s="4" t="s">
        <v>11</v>
      </c>
      <c r="I1245" s="5">
        <v>0</v>
      </c>
      <c r="J1245" s="4">
        <v>45916.294803240744</v>
      </c>
    </row>
    <row r="1246" spans="1:10" x14ac:dyDescent="0.2">
      <c r="A1246" s="2" t="s">
        <v>10</v>
      </c>
      <c r="B1246" s="3" t="str">
        <f t="shared" si="29"/>
        <v>France - HCP Survey Email - June 2025</v>
      </c>
      <c r="C1246" s="3" t="str">
        <f>HYPERLINK("https://otsuka-europe-crm.veevavault.com/ui/#object/sent_email__v/VBLZ025E82GNNWT", "SE-000272856")</f>
        <v>SE-000272856</v>
      </c>
      <c r="D1246" s="4" t="s">
        <v>11</v>
      </c>
      <c r="E1246" s="5">
        <v>0</v>
      </c>
      <c r="F1246" s="5">
        <v>0</v>
      </c>
      <c r="G1246" s="5">
        <v>0</v>
      </c>
      <c r="H1246" s="4" t="s">
        <v>11</v>
      </c>
      <c r="I1246" s="5">
        <v>0</v>
      </c>
      <c r="J1246" s="4">
        <v>45916.294641203705</v>
      </c>
    </row>
    <row r="1247" spans="1:10" x14ac:dyDescent="0.2">
      <c r="A1247" s="2" t="s">
        <v>10</v>
      </c>
      <c r="B1247" s="3" t="str">
        <f t="shared" si="29"/>
        <v>France - HCP Survey Email - June 2025</v>
      </c>
      <c r="C1247" s="3" t="str">
        <f>HYPERLINK("https://otsuka-europe-crm.veevavault.com/ui/#object/sent_email__v/VBLZ025E82GNNWU", "SE-000272857")</f>
        <v>SE-000272857</v>
      </c>
      <c r="D1247" s="4">
        <v>45916.350138888891</v>
      </c>
      <c r="E1247" s="5">
        <v>1</v>
      </c>
      <c r="F1247" s="5">
        <v>3</v>
      </c>
      <c r="G1247" s="5">
        <v>0</v>
      </c>
      <c r="H1247" s="4" t="s">
        <v>11</v>
      </c>
      <c r="I1247" s="5">
        <v>0</v>
      </c>
      <c r="J1247" s="4">
        <v>45916.294432870367</v>
      </c>
    </row>
    <row r="1248" spans="1:10" x14ac:dyDescent="0.2">
      <c r="A1248" s="2" t="s">
        <v>10</v>
      </c>
      <c r="B1248" s="3" t="str">
        <f t="shared" si="29"/>
        <v>France - HCP Survey Email - June 2025</v>
      </c>
      <c r="C1248" s="3" t="str">
        <f>HYPERLINK("https://otsuka-europe-crm.veevavault.com/ui/#object/sent_email__v/VBLZ025E82GNNWV", "SE-000272858")</f>
        <v>SE-000272858</v>
      </c>
      <c r="D1248" s="4" t="s">
        <v>11</v>
      </c>
      <c r="E1248" s="5">
        <v>0</v>
      </c>
      <c r="F1248" s="5">
        <v>0</v>
      </c>
      <c r="G1248" s="5">
        <v>0</v>
      </c>
      <c r="H1248" s="4" t="s">
        <v>11</v>
      </c>
      <c r="I1248" s="5">
        <v>0</v>
      </c>
      <c r="J1248" s="4">
        <v>45916.294282407405</v>
      </c>
    </row>
    <row r="1249" spans="1:10" x14ac:dyDescent="0.2">
      <c r="A1249" s="2" t="s">
        <v>10</v>
      </c>
      <c r="B1249" s="3" t="str">
        <f t="shared" si="29"/>
        <v>France - HCP Survey Email - June 2025</v>
      </c>
      <c r="C1249" s="3" t="str">
        <f>HYPERLINK("https://otsuka-europe-crm.veevavault.com/ui/#object/sent_email__v/VBLZ025E82GNNWW", "SE-000272859")</f>
        <v>SE-000272859</v>
      </c>
      <c r="D1249" s="4" t="s">
        <v>11</v>
      </c>
      <c r="E1249" s="5">
        <v>0</v>
      </c>
      <c r="F1249" s="5">
        <v>0</v>
      </c>
      <c r="G1249" s="5">
        <v>0</v>
      </c>
      <c r="H1249" s="4" t="s">
        <v>11</v>
      </c>
      <c r="I1249" s="5">
        <v>0</v>
      </c>
      <c r="J1249" s="4">
        <v>45916.294791666667</v>
      </c>
    </row>
    <row r="1250" spans="1:10" x14ac:dyDescent="0.2">
      <c r="A1250" s="2" t="s">
        <v>10</v>
      </c>
      <c r="B1250" s="3" t="str">
        <f t="shared" si="29"/>
        <v>France - HCP Survey Email - June 2025</v>
      </c>
      <c r="C1250" s="3" t="str">
        <f>HYPERLINK("https://otsuka-europe-crm.veevavault.com/ui/#object/sent_email__v/VBLZ025E82GNNWX", "SE-000272860")</f>
        <v>SE-000272860</v>
      </c>
      <c r="D1250" s="4" t="s">
        <v>11</v>
      </c>
      <c r="E1250" s="5">
        <v>0</v>
      </c>
      <c r="F1250" s="5">
        <v>0</v>
      </c>
      <c r="G1250" s="5">
        <v>0</v>
      </c>
      <c r="H1250" s="4" t="s">
        <v>11</v>
      </c>
      <c r="I1250" s="5">
        <v>0</v>
      </c>
      <c r="J1250" s="4">
        <v>45916.294444444444</v>
      </c>
    </row>
    <row r="1251" spans="1:10" x14ac:dyDescent="0.2">
      <c r="A1251" s="2" t="s">
        <v>10</v>
      </c>
      <c r="B1251" s="3" t="str">
        <f t="shared" si="29"/>
        <v>France - HCP Survey Email - June 2025</v>
      </c>
      <c r="C1251" s="3" t="str">
        <f>HYPERLINK("https://otsuka-europe-crm.veevavault.com/ui/#object/sent_email__v/VBLZ025E82GNNWY", "SE-000272861")</f>
        <v>SE-000272861</v>
      </c>
      <c r="D1251" s="4" t="s">
        <v>11</v>
      </c>
      <c r="E1251" s="5">
        <v>0</v>
      </c>
      <c r="F1251" s="5">
        <v>0</v>
      </c>
      <c r="G1251" s="5">
        <v>0</v>
      </c>
      <c r="H1251" s="4" t="s">
        <v>11</v>
      </c>
      <c r="I1251" s="5">
        <v>0</v>
      </c>
      <c r="J1251" s="4">
        <v>45916.294247685182</v>
      </c>
    </row>
    <row r="1252" spans="1:10" x14ac:dyDescent="0.2">
      <c r="A1252" s="2" t="s">
        <v>10</v>
      </c>
      <c r="B1252" s="3" t="str">
        <f t="shared" si="29"/>
        <v>France - HCP Survey Email - June 2025</v>
      </c>
      <c r="C1252" s="3" t="str">
        <f>HYPERLINK("https://otsuka-europe-crm.veevavault.com/ui/#object/sent_email__v/VBLZ025E82GNNWZ", "SE-000272862")</f>
        <v>SE-000272862</v>
      </c>
      <c r="D1252" s="4" t="s">
        <v>11</v>
      </c>
      <c r="E1252" s="5">
        <v>0</v>
      </c>
      <c r="F1252" s="5">
        <v>0</v>
      </c>
      <c r="G1252" s="5">
        <v>0</v>
      </c>
      <c r="H1252" s="4" t="s">
        <v>11</v>
      </c>
      <c r="I1252" s="5">
        <v>0</v>
      </c>
      <c r="J1252" s="4">
        <v>45916.294976851852</v>
      </c>
    </row>
    <row r="1253" spans="1:10" x14ac:dyDescent="0.2">
      <c r="A1253" s="2" t="s">
        <v>10</v>
      </c>
      <c r="B1253" s="3" t="str">
        <f t="shared" si="29"/>
        <v>France - HCP Survey Email - June 2025</v>
      </c>
      <c r="C1253" s="3" t="str">
        <f>HYPERLINK("https://otsuka-europe-crm.veevavault.com/ui/#object/sent_email__v/VBLZ025E82GNNX0", "SE-000272863")</f>
        <v>SE-000272863</v>
      </c>
      <c r="D1253" s="4" t="s">
        <v>11</v>
      </c>
      <c r="E1253" s="5">
        <v>0</v>
      </c>
      <c r="F1253" s="5">
        <v>0</v>
      </c>
      <c r="G1253" s="5">
        <v>0</v>
      </c>
      <c r="H1253" s="4" t="s">
        <v>11</v>
      </c>
      <c r="I1253" s="5">
        <v>0</v>
      </c>
      <c r="J1253" s="4">
        <v>45916.294733796298</v>
      </c>
    </row>
    <row r="1254" spans="1:10" x14ac:dyDescent="0.2">
      <c r="A1254" s="2" t="s">
        <v>10</v>
      </c>
      <c r="B1254" s="3" t="str">
        <f t="shared" si="29"/>
        <v>France - HCP Survey Email - June 2025</v>
      </c>
      <c r="C1254" s="3" t="str">
        <f>HYPERLINK("https://otsuka-europe-crm.veevavault.com/ui/#object/sent_email__v/VBLZ025E82GNNX1", "SE-000272864")</f>
        <v>SE-000272864</v>
      </c>
      <c r="D1254" s="4" t="s">
        <v>11</v>
      </c>
      <c r="E1254" s="5">
        <v>0</v>
      </c>
      <c r="F1254" s="5">
        <v>0</v>
      </c>
      <c r="G1254" s="5">
        <v>0</v>
      </c>
      <c r="H1254" s="4" t="s">
        <v>11</v>
      </c>
      <c r="I1254" s="5">
        <v>0</v>
      </c>
      <c r="J1254" s="4">
        <v>45916.294328703705</v>
      </c>
    </row>
    <row r="1255" spans="1:10" x14ac:dyDescent="0.2">
      <c r="A1255" s="2" t="s">
        <v>10</v>
      </c>
      <c r="B1255" s="3" t="str">
        <f t="shared" si="29"/>
        <v>France - HCP Survey Email - June 2025</v>
      </c>
      <c r="C1255" s="3" t="str">
        <f>HYPERLINK("https://otsuka-europe-crm.veevavault.com/ui/#object/sent_email__v/VBLZ025E82GNNX2", "SE-000272865")</f>
        <v>SE-000272865</v>
      </c>
      <c r="D1255" s="4" t="s">
        <v>11</v>
      </c>
      <c r="E1255" s="5">
        <v>0</v>
      </c>
      <c r="F1255" s="5">
        <v>0</v>
      </c>
      <c r="G1255" s="5">
        <v>0</v>
      </c>
      <c r="H1255" s="4" t="s">
        <v>11</v>
      </c>
      <c r="I1255" s="5">
        <v>0</v>
      </c>
      <c r="J1255" s="4">
        <v>45916.294236111113</v>
      </c>
    </row>
    <row r="1256" spans="1:10" x14ac:dyDescent="0.2">
      <c r="A1256" s="2" t="s">
        <v>10</v>
      </c>
      <c r="B1256" s="3" t="str">
        <f t="shared" si="29"/>
        <v>France - HCP Survey Email - June 2025</v>
      </c>
      <c r="C1256" s="3" t="str">
        <f>HYPERLINK("https://otsuka-europe-crm.veevavault.com/ui/#object/sent_email__v/VBLZ025E82GNNX3", "SE-000272866")</f>
        <v>SE-000272866</v>
      </c>
      <c r="D1256" s="4" t="s">
        <v>11</v>
      </c>
      <c r="E1256" s="5">
        <v>0</v>
      </c>
      <c r="F1256" s="5">
        <v>0</v>
      </c>
      <c r="G1256" s="5">
        <v>0</v>
      </c>
      <c r="H1256" s="4" t="s">
        <v>11</v>
      </c>
      <c r="I1256" s="5">
        <v>0</v>
      </c>
      <c r="J1256" s="4">
        <v>45916.294861111113</v>
      </c>
    </row>
    <row r="1257" spans="1:10" x14ac:dyDescent="0.2">
      <c r="A1257" s="2" t="s">
        <v>10</v>
      </c>
      <c r="B1257" s="3" t="str">
        <f t="shared" si="29"/>
        <v>France - HCP Survey Email - June 2025</v>
      </c>
      <c r="C1257" s="3" t="str">
        <f>HYPERLINK("https://otsuka-europe-crm.veevavault.com/ui/#object/sent_email__v/VBLZ025E82GNNX4", "SE-000272867")</f>
        <v>SE-000272867</v>
      </c>
      <c r="D1257" s="4" t="s">
        <v>11</v>
      </c>
      <c r="E1257" s="5">
        <v>0</v>
      </c>
      <c r="F1257" s="5">
        <v>0</v>
      </c>
      <c r="G1257" s="5">
        <v>0</v>
      </c>
      <c r="H1257" s="4" t="s">
        <v>11</v>
      </c>
      <c r="I1257" s="5">
        <v>0</v>
      </c>
      <c r="J1257" s="4">
        <v>45916.294722222221</v>
      </c>
    </row>
    <row r="1258" spans="1:10" x14ac:dyDescent="0.2">
      <c r="A1258" s="2" t="s">
        <v>10</v>
      </c>
      <c r="B1258" s="3" t="str">
        <f t="shared" si="29"/>
        <v>France - HCP Survey Email - June 2025</v>
      </c>
      <c r="C1258" s="3" t="str">
        <f>HYPERLINK("https://otsuka-europe-crm.veevavault.com/ui/#object/sent_email__v/VBLZ025E82GNNX5", "SE-000272868")</f>
        <v>SE-000272868</v>
      </c>
      <c r="D1258" s="4" t="s">
        <v>11</v>
      </c>
      <c r="E1258" s="5">
        <v>0</v>
      </c>
      <c r="F1258" s="5">
        <v>0</v>
      </c>
      <c r="G1258" s="5">
        <v>0</v>
      </c>
      <c r="H1258" s="4" t="s">
        <v>11</v>
      </c>
      <c r="I1258" s="5">
        <v>0</v>
      </c>
      <c r="J1258" s="4">
        <v>45916.294409722221</v>
      </c>
    </row>
    <row r="1259" spans="1:10" x14ac:dyDescent="0.2">
      <c r="A1259" s="2" t="s">
        <v>10</v>
      </c>
      <c r="B1259" s="3" t="str">
        <f t="shared" si="29"/>
        <v>France - HCP Survey Email - June 2025</v>
      </c>
      <c r="C1259" s="3" t="str">
        <f>HYPERLINK("https://otsuka-europe-crm.veevavault.com/ui/#object/sent_email__v/VBLZ025E82GNNX6", "SE-000272869")</f>
        <v>SE-000272869</v>
      </c>
      <c r="D1259" s="4" t="s">
        <v>11</v>
      </c>
      <c r="E1259" s="5">
        <v>0</v>
      </c>
      <c r="F1259" s="5">
        <v>0</v>
      </c>
      <c r="G1259" s="5">
        <v>0</v>
      </c>
      <c r="H1259" s="4" t="s">
        <v>11</v>
      </c>
      <c r="I1259" s="5">
        <v>0</v>
      </c>
      <c r="J1259" s="4">
        <v>45916.294317129628</v>
      </c>
    </row>
    <row r="1260" spans="1:10" x14ac:dyDescent="0.2">
      <c r="A1260" s="2" t="s">
        <v>10</v>
      </c>
      <c r="B1260" s="3" t="str">
        <f t="shared" si="29"/>
        <v>France - HCP Survey Email - June 2025</v>
      </c>
      <c r="C1260" s="3" t="str">
        <f>HYPERLINK("https://otsuka-europe-crm.veevavault.com/ui/#object/sent_email__v/VBLZ025E82GNNX7", "SE-000272870")</f>
        <v>SE-000272870</v>
      </c>
      <c r="D1260" s="4" t="s">
        <v>11</v>
      </c>
      <c r="E1260" s="5">
        <v>0</v>
      </c>
      <c r="F1260" s="5">
        <v>0</v>
      </c>
      <c r="G1260" s="5">
        <v>0</v>
      </c>
      <c r="H1260" s="4" t="s">
        <v>11</v>
      </c>
      <c r="I1260" s="5">
        <v>0</v>
      </c>
      <c r="J1260" s="4">
        <v>45916.294687499998</v>
      </c>
    </row>
    <row r="1261" spans="1:10" x14ac:dyDescent="0.2">
      <c r="A1261" s="2" t="s">
        <v>10</v>
      </c>
      <c r="B1261" s="3" t="str">
        <f t="shared" si="29"/>
        <v>France - HCP Survey Email - June 2025</v>
      </c>
      <c r="C1261" s="3" t="str">
        <f>HYPERLINK("https://otsuka-europe-crm.veevavault.com/ui/#object/sent_email__v/VBLZ025E82GNNX8", "SE-000272871")</f>
        <v>SE-000272871</v>
      </c>
      <c r="D1261" s="4" t="s">
        <v>11</v>
      </c>
      <c r="E1261" s="5">
        <v>0</v>
      </c>
      <c r="F1261" s="5">
        <v>0</v>
      </c>
      <c r="G1261" s="5">
        <v>0</v>
      </c>
      <c r="H1261" s="4" t="s">
        <v>11</v>
      </c>
      <c r="I1261" s="5">
        <v>0</v>
      </c>
      <c r="J1261" s="4">
        <v>45916.294502314813</v>
      </c>
    </row>
    <row r="1262" spans="1:10" x14ac:dyDescent="0.2">
      <c r="A1262" s="2" t="s">
        <v>10</v>
      </c>
      <c r="B1262" s="3" t="str">
        <f t="shared" si="29"/>
        <v>France - HCP Survey Email - June 2025</v>
      </c>
      <c r="C1262" s="3" t="str">
        <f>HYPERLINK("https://otsuka-europe-crm.veevavault.com/ui/#object/sent_email__v/VBLZ025E82GNNX9", "SE-000272872")</f>
        <v>SE-000272872</v>
      </c>
      <c r="D1262" s="4" t="s">
        <v>11</v>
      </c>
      <c r="E1262" s="5">
        <v>0</v>
      </c>
      <c r="F1262" s="5">
        <v>0</v>
      </c>
      <c r="G1262" s="5">
        <v>0</v>
      </c>
      <c r="H1262" s="4" t="s">
        <v>11</v>
      </c>
      <c r="I1262" s="5">
        <v>0</v>
      </c>
      <c r="J1262" s="4">
        <v>45916.294363425928</v>
      </c>
    </row>
    <row r="1263" spans="1:10" x14ac:dyDescent="0.2">
      <c r="A1263" s="2" t="s">
        <v>10</v>
      </c>
      <c r="B1263" s="3" t="str">
        <f t="shared" si="29"/>
        <v>France - HCP Survey Email - June 2025</v>
      </c>
      <c r="C1263" s="3" t="str">
        <f>HYPERLINK("https://otsuka-europe-crm.veevavault.com/ui/#object/sent_email__v/VBLZ025E82GNNXA", "SE-000272873")</f>
        <v>SE-000272873</v>
      </c>
      <c r="D1263" s="4">
        <v>45916.295023148145</v>
      </c>
      <c r="E1263" s="5">
        <v>1</v>
      </c>
      <c r="F1263" s="5">
        <v>1</v>
      </c>
      <c r="G1263" s="5">
        <v>1</v>
      </c>
      <c r="H1263" s="4">
        <v>45916.295023148145</v>
      </c>
      <c r="I1263" s="5">
        <v>1</v>
      </c>
      <c r="J1263" s="4">
        <v>45916.294965277775</v>
      </c>
    </row>
    <row r="1264" spans="1:10" x14ac:dyDescent="0.2">
      <c r="A1264" s="2" t="s">
        <v>10</v>
      </c>
      <c r="B1264" s="3" t="str">
        <f t="shared" si="29"/>
        <v>France - HCP Survey Email - June 2025</v>
      </c>
      <c r="C1264" s="3" t="str">
        <f>HYPERLINK("https://otsuka-europe-crm.veevavault.com/ui/#object/sent_email__v/VBLZ025E82GNNXB", "SE-000272874")</f>
        <v>SE-000272874</v>
      </c>
      <c r="D1264" s="4" t="s">
        <v>11</v>
      </c>
      <c r="E1264" s="5">
        <v>0</v>
      </c>
      <c r="F1264" s="5">
        <v>0</v>
      </c>
      <c r="G1264" s="5">
        <v>0</v>
      </c>
      <c r="H1264" s="4" t="s">
        <v>11</v>
      </c>
      <c r="I1264" s="5">
        <v>0</v>
      </c>
      <c r="J1264" s="4">
        <v>45916.29478009259</v>
      </c>
    </row>
    <row r="1265" spans="1:10" x14ac:dyDescent="0.2">
      <c r="A1265" s="2" t="s">
        <v>10</v>
      </c>
      <c r="B1265" s="3" t="str">
        <f t="shared" si="29"/>
        <v>France - HCP Survey Email - June 2025</v>
      </c>
      <c r="C1265" s="3" t="str">
        <f>HYPERLINK("https://otsuka-europe-crm.veevavault.com/ui/#object/sent_email__v/VBLZ025E82GNNXC", "SE-000272875")</f>
        <v>SE-000272875</v>
      </c>
      <c r="D1265" s="4" t="s">
        <v>11</v>
      </c>
      <c r="E1265" s="5">
        <v>0</v>
      </c>
      <c r="F1265" s="5">
        <v>0</v>
      </c>
      <c r="G1265" s="5">
        <v>0</v>
      </c>
      <c r="H1265" s="4" t="s">
        <v>11</v>
      </c>
      <c r="I1265" s="5">
        <v>0</v>
      </c>
      <c r="J1265" s="4">
        <v>45916.294386574074</v>
      </c>
    </row>
    <row r="1266" spans="1:10" x14ac:dyDescent="0.2">
      <c r="A1266" s="2" t="s">
        <v>10</v>
      </c>
      <c r="B1266" s="3" t="str">
        <f t="shared" si="29"/>
        <v>France - HCP Survey Email - June 2025</v>
      </c>
      <c r="C1266" s="3" t="str">
        <f>HYPERLINK("https://otsuka-europe-crm.veevavault.com/ui/#object/sent_email__v/VBLZ025E82GNNXD", "SE-000272876")</f>
        <v>SE-000272876</v>
      </c>
      <c r="D1266" s="4" t="s">
        <v>11</v>
      </c>
      <c r="E1266" s="5">
        <v>0</v>
      </c>
      <c r="F1266" s="5">
        <v>0</v>
      </c>
      <c r="G1266" s="5">
        <v>0</v>
      </c>
      <c r="H1266" s="4" t="s">
        <v>11</v>
      </c>
      <c r="I1266" s="5">
        <v>0</v>
      </c>
      <c r="J1266" s="4">
        <v>45916.29420138889</v>
      </c>
    </row>
    <row r="1267" spans="1:10" x14ac:dyDescent="0.2">
      <c r="A1267" s="2" t="s">
        <v>10</v>
      </c>
      <c r="B1267" s="3" t="str">
        <f t="shared" si="29"/>
        <v>France - HCP Survey Email - June 2025</v>
      </c>
      <c r="C1267" s="3" t="str">
        <f>HYPERLINK("https://otsuka-europe-crm.veevavault.com/ui/#object/sent_email__v/VBLZ025E82GNNXF", "SE-000272878")</f>
        <v>SE-000272878</v>
      </c>
      <c r="D1267" s="4" t="s">
        <v>11</v>
      </c>
      <c r="E1267" s="5">
        <v>0</v>
      </c>
      <c r="F1267" s="5">
        <v>0</v>
      </c>
      <c r="G1267" s="5">
        <v>0</v>
      </c>
      <c r="H1267" s="4" t="s">
        <v>11</v>
      </c>
      <c r="I1267" s="5">
        <v>0</v>
      </c>
      <c r="J1267" s="4">
        <v>45916.294664351852</v>
      </c>
    </row>
    <row r="1268" spans="1:10" x14ac:dyDescent="0.2">
      <c r="A1268" s="2" t="s">
        <v>10</v>
      </c>
      <c r="B1268" s="3" t="str">
        <f t="shared" si="29"/>
        <v>France - HCP Survey Email - June 2025</v>
      </c>
      <c r="C1268" s="3" t="str">
        <f>HYPERLINK("https://otsuka-europe-crm.veevavault.com/ui/#object/sent_email__v/VBLZ025E82GNNXG", "SE-000272879")</f>
        <v>SE-000272879</v>
      </c>
      <c r="D1268" s="4" t="s">
        <v>11</v>
      </c>
      <c r="E1268" s="5">
        <v>0</v>
      </c>
      <c r="F1268" s="5">
        <v>0</v>
      </c>
      <c r="G1268" s="5">
        <v>0</v>
      </c>
      <c r="H1268" s="4" t="s">
        <v>11</v>
      </c>
      <c r="I1268" s="5">
        <v>0</v>
      </c>
      <c r="J1268" s="4">
        <v>45916.294398148151</v>
      </c>
    </row>
    <row r="1269" spans="1:10" x14ac:dyDescent="0.2">
      <c r="A1269" s="2" t="s">
        <v>10</v>
      </c>
      <c r="B1269" s="3" t="str">
        <f t="shared" si="29"/>
        <v>France - HCP Survey Email - June 2025</v>
      </c>
      <c r="C1269" s="3" t="str">
        <f>HYPERLINK("https://otsuka-europe-crm.veevavault.com/ui/#object/sent_email__v/VBLZ025E82GNNXH", "SE-000272880")</f>
        <v>SE-000272880</v>
      </c>
      <c r="D1269" s="4" t="s">
        <v>11</v>
      </c>
      <c r="E1269" s="5">
        <v>0</v>
      </c>
      <c r="F1269" s="5">
        <v>0</v>
      </c>
      <c r="G1269" s="5">
        <v>0</v>
      </c>
      <c r="H1269" s="4" t="s">
        <v>11</v>
      </c>
      <c r="I1269" s="5">
        <v>0</v>
      </c>
      <c r="J1269" s="4">
        <v>45916.294212962966</v>
      </c>
    </row>
    <row r="1270" spans="1:10" x14ac:dyDescent="0.2">
      <c r="A1270" s="2" t="s">
        <v>10</v>
      </c>
      <c r="B1270" s="3" t="str">
        <f t="shared" si="29"/>
        <v>France - HCP Survey Email - June 2025</v>
      </c>
      <c r="C1270" s="3" t="str">
        <f>HYPERLINK("https://otsuka-europe-crm.veevavault.com/ui/#object/sent_email__v/VBLZ025E82GNNXI", "SE-000272881")</f>
        <v>SE-000272881</v>
      </c>
      <c r="D1270" s="4" t="s">
        <v>11</v>
      </c>
      <c r="E1270" s="5">
        <v>0</v>
      </c>
      <c r="F1270" s="5">
        <v>0</v>
      </c>
      <c r="G1270" s="5">
        <v>0</v>
      </c>
      <c r="H1270" s="4" t="s">
        <v>11</v>
      </c>
      <c r="I1270" s="5">
        <v>0</v>
      </c>
      <c r="J1270" s="4">
        <v>45916.294710648152</v>
      </c>
    </row>
    <row r="1271" spans="1:10" x14ac:dyDescent="0.2">
      <c r="A1271" s="2" t="s">
        <v>10</v>
      </c>
      <c r="B1271" s="3" t="str">
        <f t="shared" si="29"/>
        <v>France - HCP Survey Email - June 2025</v>
      </c>
      <c r="C1271" s="3" t="str">
        <f>HYPERLINK("https://otsuka-europe-crm.veevavault.com/ui/#object/sent_email__v/VBLZ025E82GNNXJ", "SE-000272882")</f>
        <v>SE-000272882</v>
      </c>
      <c r="D1271" s="4" t="s">
        <v>11</v>
      </c>
      <c r="E1271" s="5">
        <v>0</v>
      </c>
      <c r="F1271" s="5">
        <v>0</v>
      </c>
      <c r="G1271" s="5">
        <v>0</v>
      </c>
      <c r="H1271" s="4" t="s">
        <v>11</v>
      </c>
      <c r="I1271" s="5">
        <v>0</v>
      </c>
      <c r="J1271" s="4">
        <v>45916.294502314813</v>
      </c>
    </row>
    <row r="1272" spans="1:10" x14ac:dyDescent="0.2">
      <c r="A1272" s="2" t="s">
        <v>10</v>
      </c>
      <c r="B1272" s="3" t="str">
        <f t="shared" si="29"/>
        <v>France - HCP Survey Email - June 2025</v>
      </c>
      <c r="C1272" s="3" t="str">
        <f>HYPERLINK("https://otsuka-europe-crm.veevavault.com/ui/#object/sent_email__v/VBLZ025E82GNNXK", "SE-000272883")</f>
        <v>SE-000272883</v>
      </c>
      <c r="D1272" s="4" t="s">
        <v>11</v>
      </c>
      <c r="E1272" s="5">
        <v>0</v>
      </c>
      <c r="F1272" s="5">
        <v>0</v>
      </c>
      <c r="G1272" s="5">
        <v>0</v>
      </c>
      <c r="H1272" s="4" t="s">
        <v>11</v>
      </c>
      <c r="I1272" s="5">
        <v>0</v>
      </c>
      <c r="J1272" s="4">
        <v>45916.294270833336</v>
      </c>
    </row>
    <row r="1273" spans="1:10" x14ac:dyDescent="0.2">
      <c r="A1273" s="2" t="s">
        <v>10</v>
      </c>
      <c r="B1273" s="3" t="str">
        <f t="shared" si="29"/>
        <v>France - HCP Survey Email - June 2025</v>
      </c>
      <c r="C1273" s="3" t="str">
        <f>HYPERLINK("https://otsuka-europe-crm.veevavault.com/ui/#object/sent_email__v/VBLZ025E82GNNXL", "SE-000272884")</f>
        <v>SE-000272884</v>
      </c>
      <c r="D1273" s="4">
        <v>45916.331655092596</v>
      </c>
      <c r="E1273" s="5">
        <v>1</v>
      </c>
      <c r="F1273" s="5">
        <v>2</v>
      </c>
      <c r="G1273" s="5">
        <v>0</v>
      </c>
      <c r="H1273" s="4" t="s">
        <v>11</v>
      </c>
      <c r="I1273" s="5">
        <v>0</v>
      </c>
      <c r="J1273" s="4">
        <v>45916.294999999998</v>
      </c>
    </row>
    <row r="1274" spans="1:10" x14ac:dyDescent="0.2">
      <c r="A1274" s="2" t="s">
        <v>10</v>
      </c>
      <c r="B1274" s="3" t="str">
        <f t="shared" si="29"/>
        <v>France - HCP Survey Email - June 2025</v>
      </c>
      <c r="C1274" s="3" t="str">
        <f>HYPERLINK("https://otsuka-europe-crm.veevavault.com/ui/#object/sent_email__v/VBLZ025E82GNNXM", "SE-000272885")</f>
        <v>SE-000272885</v>
      </c>
      <c r="D1274" s="4" t="s">
        <v>11</v>
      </c>
      <c r="E1274" s="5">
        <v>0</v>
      </c>
      <c r="F1274" s="5">
        <v>0</v>
      </c>
      <c r="G1274" s="5">
        <v>0</v>
      </c>
      <c r="H1274" s="4" t="s">
        <v>11</v>
      </c>
      <c r="I1274" s="5">
        <v>0</v>
      </c>
      <c r="J1274" s="4">
        <v>45916.29478009259</v>
      </c>
    </row>
    <row r="1275" spans="1:10" x14ac:dyDescent="0.2">
      <c r="A1275" s="2" t="s">
        <v>10</v>
      </c>
      <c r="B1275" s="3" t="str">
        <f t="shared" si="29"/>
        <v>France - HCP Survey Email - June 2025</v>
      </c>
      <c r="C1275" s="3" t="str">
        <f>HYPERLINK("https://otsuka-europe-crm.veevavault.com/ui/#object/sent_email__v/VBLZ025E82GNNXN", "SE-000272886")</f>
        <v>SE-000272886</v>
      </c>
      <c r="D1275" s="4">
        <v>45916.88082175926</v>
      </c>
      <c r="E1275" s="5">
        <v>1</v>
      </c>
      <c r="F1275" s="5">
        <v>1</v>
      </c>
      <c r="G1275" s="5">
        <v>0</v>
      </c>
      <c r="H1275" s="4" t="s">
        <v>11</v>
      </c>
      <c r="I1275" s="5">
        <v>0</v>
      </c>
      <c r="J1275" s="4">
        <v>45916.294525462959</v>
      </c>
    </row>
    <row r="1276" spans="1:10" x14ac:dyDescent="0.2">
      <c r="A1276" s="2" t="s">
        <v>10</v>
      </c>
      <c r="B1276" s="3" t="str">
        <f t="shared" si="29"/>
        <v>France - HCP Survey Email - June 2025</v>
      </c>
      <c r="C1276" s="3" t="str">
        <f>HYPERLINK("https://otsuka-europe-crm.veevavault.com/ui/#object/sent_email__v/VBLZ025E82GNNXO", "SE-000272887")</f>
        <v>SE-000272887</v>
      </c>
      <c r="D1276" s="4" t="s">
        <v>11</v>
      </c>
      <c r="E1276" s="5">
        <v>0</v>
      </c>
      <c r="F1276" s="5">
        <v>0</v>
      </c>
      <c r="G1276" s="5">
        <v>0</v>
      </c>
      <c r="H1276" s="4" t="s">
        <v>11</v>
      </c>
      <c r="I1276" s="5">
        <v>0</v>
      </c>
      <c r="J1276" s="4">
        <v>45916.294189814813</v>
      </c>
    </row>
    <row r="1277" spans="1:10" x14ac:dyDescent="0.2">
      <c r="A1277" s="2" t="s">
        <v>10</v>
      </c>
      <c r="B1277" s="3" t="str">
        <f t="shared" si="29"/>
        <v>France - HCP Survey Email - June 2025</v>
      </c>
      <c r="C1277" s="3" t="str">
        <f>HYPERLINK("https://otsuka-europe-crm.veevavault.com/ui/#object/sent_email__v/VBLZ025E82GNNXP", "SE-000272888")</f>
        <v>SE-000272888</v>
      </c>
      <c r="D1277" s="4" t="s">
        <v>11</v>
      </c>
      <c r="E1277" s="5">
        <v>0</v>
      </c>
      <c r="F1277" s="5">
        <v>0</v>
      </c>
      <c r="G1277" s="5">
        <v>0</v>
      </c>
      <c r="H1277" s="4" t="s">
        <v>11</v>
      </c>
      <c r="I1277" s="5">
        <v>0</v>
      </c>
      <c r="J1277" s="4">
        <v>45916.294907407406</v>
      </c>
    </row>
    <row r="1278" spans="1:10" x14ac:dyDescent="0.2">
      <c r="A1278" s="2" t="s">
        <v>10</v>
      </c>
      <c r="B1278" s="3" t="str">
        <f t="shared" si="29"/>
        <v>France - HCP Survey Email - June 2025</v>
      </c>
      <c r="C1278" s="3" t="str">
        <f>HYPERLINK("https://otsuka-europe-crm.veevavault.com/ui/#object/sent_email__v/VBLZ025E82GNNXQ", "SE-000272889")</f>
        <v>SE-000272889</v>
      </c>
      <c r="D1278" s="4">
        <v>45916.328055555554</v>
      </c>
      <c r="E1278" s="5">
        <v>1</v>
      </c>
      <c r="F1278" s="5">
        <v>3</v>
      </c>
      <c r="G1278" s="5">
        <v>0</v>
      </c>
      <c r="H1278" s="4" t="s">
        <v>11</v>
      </c>
      <c r="I1278" s="5">
        <v>0</v>
      </c>
      <c r="J1278" s="4">
        <v>45916.294641203705</v>
      </c>
    </row>
    <row r="1279" spans="1:10" x14ac:dyDescent="0.2">
      <c r="A1279" s="2" t="s">
        <v>10</v>
      </c>
      <c r="B1279" s="3" t="str">
        <f t="shared" si="29"/>
        <v>France - HCP Survey Email - June 2025</v>
      </c>
      <c r="C1279" s="3" t="str">
        <f>HYPERLINK("https://otsuka-europe-crm.veevavault.com/ui/#object/sent_email__v/VBLZ025E82GNNXR", "SE-000272890")</f>
        <v>SE-000272890</v>
      </c>
      <c r="D1279" s="4" t="s">
        <v>11</v>
      </c>
      <c r="E1279" s="5">
        <v>0</v>
      </c>
      <c r="F1279" s="5">
        <v>0</v>
      </c>
      <c r="G1279" s="5">
        <v>0</v>
      </c>
      <c r="H1279" s="4" t="s">
        <v>11</v>
      </c>
      <c r="I1279" s="5">
        <v>0</v>
      </c>
      <c r="J1279" s="4">
        <v>45916.294432870367</v>
      </c>
    </row>
    <row r="1280" spans="1:10" x14ac:dyDescent="0.2">
      <c r="A1280" s="2" t="s">
        <v>10</v>
      </c>
      <c r="B1280" s="3" t="str">
        <f t="shared" si="29"/>
        <v>France - HCP Survey Email - June 2025</v>
      </c>
      <c r="C1280" s="3" t="str">
        <f>HYPERLINK("https://otsuka-europe-crm.veevavault.com/ui/#object/sent_email__v/VBLZ025E82GNNXS", "SE-000272891")</f>
        <v>SE-000272891</v>
      </c>
      <c r="D1280" s="4" t="s">
        <v>11</v>
      </c>
      <c r="E1280" s="5">
        <v>0</v>
      </c>
      <c r="F1280" s="5">
        <v>0</v>
      </c>
      <c r="G1280" s="5">
        <v>0</v>
      </c>
      <c r="H1280" s="4" t="s">
        <v>11</v>
      </c>
      <c r="I1280" s="5">
        <v>0</v>
      </c>
      <c r="J1280" s="4">
        <v>45916.294270833336</v>
      </c>
    </row>
    <row r="1281" spans="1:10" x14ac:dyDescent="0.2">
      <c r="A1281" s="2" t="s">
        <v>10</v>
      </c>
      <c r="B1281" s="3" t="str">
        <f t="shared" ref="B1281:B1344" si="30">HYPERLINK("https://otsuka-europe-crm.veevavault.com/ui/#object/approved_document__v/V5OZ025E82TMV97", "France - HCP Survey Email - June 2025")</f>
        <v>France - HCP Survey Email - June 2025</v>
      </c>
      <c r="C1281" s="3" t="str">
        <f>HYPERLINK("https://otsuka-europe-crm.veevavault.com/ui/#object/sent_email__v/VBLZ025E82GNNXT", "SE-000272892")</f>
        <v>SE-000272892</v>
      </c>
      <c r="D1281" s="4" t="s">
        <v>11</v>
      </c>
      <c r="E1281" s="5">
        <v>0</v>
      </c>
      <c r="F1281" s="5">
        <v>0</v>
      </c>
      <c r="G1281" s="5">
        <v>0</v>
      </c>
      <c r="H1281" s="4" t="s">
        <v>11</v>
      </c>
      <c r="I1281" s="5">
        <v>0</v>
      </c>
      <c r="J1281" s="4">
        <v>45916.294756944444</v>
      </c>
    </row>
    <row r="1282" spans="1:10" x14ac:dyDescent="0.2">
      <c r="A1282" s="2" t="s">
        <v>10</v>
      </c>
      <c r="B1282" s="3" t="str">
        <f t="shared" si="30"/>
        <v>France - HCP Survey Email - June 2025</v>
      </c>
      <c r="C1282" s="3" t="str">
        <f>HYPERLINK("https://otsuka-europe-crm.veevavault.com/ui/#object/sent_email__v/VBLZ025E82GNNXU", "SE-000272893")</f>
        <v>SE-000272893</v>
      </c>
      <c r="D1282" s="4" t="s">
        <v>11</v>
      </c>
      <c r="E1282" s="5">
        <v>0</v>
      </c>
      <c r="F1282" s="5">
        <v>0</v>
      </c>
      <c r="G1282" s="5">
        <v>0</v>
      </c>
      <c r="H1282" s="4" t="s">
        <v>11</v>
      </c>
      <c r="I1282" s="5">
        <v>0</v>
      </c>
      <c r="J1282" s="4">
        <v>45916.294618055559</v>
      </c>
    </row>
    <row r="1283" spans="1:10" x14ac:dyDescent="0.2">
      <c r="A1283" s="2" t="s">
        <v>10</v>
      </c>
      <c r="B1283" s="3" t="str">
        <f t="shared" si="30"/>
        <v>France - HCP Survey Email - June 2025</v>
      </c>
      <c r="C1283" s="3" t="str">
        <f>HYPERLINK("https://otsuka-europe-crm.veevavault.com/ui/#object/sent_email__v/VBLZ025E82GNNXV", "SE-000272894")</f>
        <v>SE-000272894</v>
      </c>
      <c r="D1283" s="4">
        <v>45916.316562499997</v>
      </c>
      <c r="E1283" s="5">
        <v>1</v>
      </c>
      <c r="F1283" s="5">
        <v>1</v>
      </c>
      <c r="G1283" s="5">
        <v>1</v>
      </c>
      <c r="H1283" s="4">
        <v>45916.317164351851</v>
      </c>
      <c r="I1283" s="5">
        <v>1</v>
      </c>
      <c r="J1283" s="4">
        <v>45916.294502314813</v>
      </c>
    </row>
    <row r="1284" spans="1:10" x14ac:dyDescent="0.2">
      <c r="A1284" s="2" t="s">
        <v>10</v>
      </c>
      <c r="B1284" s="3" t="str">
        <f t="shared" si="30"/>
        <v>France - HCP Survey Email - June 2025</v>
      </c>
      <c r="C1284" s="3" t="str">
        <f>HYPERLINK("https://otsuka-europe-crm.veevavault.com/ui/#object/sent_email__v/VBLZ025E82GNNXW", "SE-000272895")</f>
        <v>SE-000272895</v>
      </c>
      <c r="D1284" s="4">
        <v>45916.340266203704</v>
      </c>
      <c r="E1284" s="5">
        <v>1</v>
      </c>
      <c r="F1284" s="5">
        <v>1</v>
      </c>
      <c r="G1284" s="5">
        <v>0</v>
      </c>
      <c r="H1284" s="4" t="s">
        <v>11</v>
      </c>
      <c r="I1284" s="5">
        <v>0</v>
      </c>
      <c r="J1284" s="4">
        <v>45916.294236111113</v>
      </c>
    </row>
    <row r="1285" spans="1:10" x14ac:dyDescent="0.2">
      <c r="A1285" s="2" t="s">
        <v>10</v>
      </c>
      <c r="B1285" s="3" t="str">
        <f t="shared" si="30"/>
        <v>France - HCP Survey Email - June 2025</v>
      </c>
      <c r="C1285" s="3" t="str">
        <f>HYPERLINK("https://otsuka-europe-crm.veevavault.com/ui/#object/sent_email__v/VBLZ025E82GNNXX", "SE-000272896")</f>
        <v>SE-000272896</v>
      </c>
      <c r="D1285" s="4" t="s">
        <v>11</v>
      </c>
      <c r="E1285" s="5">
        <v>0</v>
      </c>
      <c r="F1285" s="5">
        <v>0</v>
      </c>
      <c r="G1285" s="5">
        <v>0</v>
      </c>
      <c r="H1285" s="4" t="s">
        <v>11</v>
      </c>
      <c r="I1285" s="5">
        <v>0</v>
      </c>
      <c r="J1285" s="4">
        <v>45916.294699074075</v>
      </c>
    </row>
    <row r="1286" spans="1:10" x14ac:dyDescent="0.2">
      <c r="A1286" s="2" t="s">
        <v>10</v>
      </c>
      <c r="B1286" s="3" t="str">
        <f t="shared" si="30"/>
        <v>France - HCP Survey Email - June 2025</v>
      </c>
      <c r="C1286" s="3" t="str">
        <f>HYPERLINK("https://otsuka-europe-crm.veevavault.com/ui/#object/sent_email__v/VBLZ025E82GNNXY", "SE-000272897")</f>
        <v>SE-000272897</v>
      </c>
      <c r="D1286" s="4" t="s">
        <v>11</v>
      </c>
      <c r="E1286" s="5">
        <v>0</v>
      </c>
      <c r="F1286" s="5">
        <v>0</v>
      </c>
      <c r="G1286" s="5">
        <v>0</v>
      </c>
      <c r="H1286" s="4" t="s">
        <v>11</v>
      </c>
      <c r="I1286" s="5">
        <v>0</v>
      </c>
      <c r="J1286" s="4">
        <v>45916.294537037036</v>
      </c>
    </row>
    <row r="1287" spans="1:10" x14ac:dyDescent="0.2">
      <c r="A1287" s="2" t="s">
        <v>10</v>
      </c>
      <c r="B1287" s="3" t="str">
        <f t="shared" si="30"/>
        <v>France - HCP Survey Email - June 2025</v>
      </c>
      <c r="C1287" s="3" t="str">
        <f>HYPERLINK("https://otsuka-europe-crm.veevavault.com/ui/#object/sent_email__v/VBLZ025E82GNNXZ", "SE-000272898")</f>
        <v>SE-000272898</v>
      </c>
      <c r="D1287" s="4" t="s">
        <v>11</v>
      </c>
      <c r="E1287" s="5">
        <v>0</v>
      </c>
      <c r="F1287" s="5">
        <v>0</v>
      </c>
      <c r="G1287" s="5">
        <v>0</v>
      </c>
      <c r="H1287" s="4" t="s">
        <v>11</v>
      </c>
      <c r="I1287" s="5">
        <v>0</v>
      </c>
      <c r="J1287" s="4">
        <v>45916.294259259259</v>
      </c>
    </row>
    <row r="1288" spans="1:10" x14ac:dyDescent="0.2">
      <c r="A1288" s="2" t="s">
        <v>10</v>
      </c>
      <c r="B1288" s="3" t="str">
        <f t="shared" si="30"/>
        <v>France - HCP Survey Email - June 2025</v>
      </c>
      <c r="C1288" s="3" t="str">
        <f>HYPERLINK("https://otsuka-europe-crm.veevavault.com/ui/#object/sent_email__v/VBLZ025E82GNNY1", "SE-000272900")</f>
        <v>SE-000272900</v>
      </c>
      <c r="D1288" s="4" t="s">
        <v>11</v>
      </c>
      <c r="E1288" s="5">
        <v>0</v>
      </c>
      <c r="F1288" s="5">
        <v>0</v>
      </c>
      <c r="G1288" s="5">
        <v>0</v>
      </c>
      <c r="H1288" s="4" t="s">
        <v>11</v>
      </c>
      <c r="I1288" s="5">
        <v>0</v>
      </c>
      <c r="J1288" s="4">
        <v>45916.294733796298</v>
      </c>
    </row>
    <row r="1289" spans="1:10" x14ac:dyDescent="0.2">
      <c r="A1289" s="2" t="s">
        <v>10</v>
      </c>
      <c r="B1289" s="3" t="str">
        <f t="shared" si="30"/>
        <v>France - HCP Survey Email - June 2025</v>
      </c>
      <c r="C1289" s="3" t="str">
        <f>HYPERLINK("https://otsuka-europe-crm.veevavault.com/ui/#object/sent_email__v/VBLZ025E82GNNY2", "SE-000272901")</f>
        <v>SE-000272901</v>
      </c>
      <c r="D1289" s="4" t="s">
        <v>11</v>
      </c>
      <c r="E1289" s="5">
        <v>0</v>
      </c>
      <c r="F1289" s="5">
        <v>0</v>
      </c>
      <c r="G1289" s="5">
        <v>0</v>
      </c>
      <c r="H1289" s="4" t="s">
        <v>11</v>
      </c>
      <c r="I1289" s="5">
        <v>0</v>
      </c>
      <c r="J1289" s="4">
        <v>45916.294560185182</v>
      </c>
    </row>
    <row r="1290" spans="1:10" x14ac:dyDescent="0.2">
      <c r="A1290" s="2" t="s">
        <v>10</v>
      </c>
      <c r="B1290" s="3" t="str">
        <f t="shared" si="30"/>
        <v>France - HCP Survey Email - June 2025</v>
      </c>
      <c r="C1290" s="3" t="str">
        <f>HYPERLINK("https://otsuka-europe-crm.veevavault.com/ui/#object/sent_email__v/VBLZ025E82GNNY4", "SE-000272903")</f>
        <v>SE-000272903</v>
      </c>
      <c r="D1290" s="4" t="s">
        <v>11</v>
      </c>
      <c r="E1290" s="5">
        <v>0</v>
      </c>
      <c r="F1290" s="5">
        <v>0</v>
      </c>
      <c r="G1290" s="5">
        <v>0</v>
      </c>
      <c r="H1290" s="4" t="s">
        <v>11</v>
      </c>
      <c r="I1290" s="5">
        <v>0</v>
      </c>
      <c r="J1290" s="4">
        <v>45916.294849537036</v>
      </c>
    </row>
    <row r="1291" spans="1:10" x14ac:dyDescent="0.2">
      <c r="A1291" s="2" t="s">
        <v>10</v>
      </c>
      <c r="B1291" s="3" t="str">
        <f t="shared" si="30"/>
        <v>France - HCP Survey Email - June 2025</v>
      </c>
      <c r="C1291" s="3" t="str">
        <f>HYPERLINK("https://otsuka-europe-crm.veevavault.com/ui/#object/sent_email__v/VBLZ025E82GNNY5", "SE-000272904")</f>
        <v>SE-000272904</v>
      </c>
      <c r="D1291" s="4" t="s">
        <v>11</v>
      </c>
      <c r="E1291" s="5">
        <v>0</v>
      </c>
      <c r="F1291" s="5">
        <v>0</v>
      </c>
      <c r="G1291" s="5">
        <v>0</v>
      </c>
      <c r="H1291" s="4" t="s">
        <v>11</v>
      </c>
      <c r="I1291" s="5">
        <v>0</v>
      </c>
      <c r="J1291" s="4">
        <v>45916.294641203705</v>
      </c>
    </row>
    <row r="1292" spans="1:10" x14ac:dyDescent="0.2">
      <c r="A1292" s="2" t="s">
        <v>10</v>
      </c>
      <c r="B1292" s="3" t="str">
        <f t="shared" si="30"/>
        <v>France - HCP Survey Email - June 2025</v>
      </c>
      <c r="C1292" s="3" t="str">
        <f>HYPERLINK("https://otsuka-europe-crm.veevavault.com/ui/#object/sent_email__v/VBLZ025E82GNNY6", "SE-000272905")</f>
        <v>SE-000272905</v>
      </c>
      <c r="D1292" s="4" t="s">
        <v>11</v>
      </c>
      <c r="E1292" s="5">
        <v>0</v>
      </c>
      <c r="F1292" s="5">
        <v>0</v>
      </c>
      <c r="G1292" s="5">
        <v>0</v>
      </c>
      <c r="H1292" s="4" t="s">
        <v>11</v>
      </c>
      <c r="I1292" s="5">
        <v>0</v>
      </c>
      <c r="J1292" s="4">
        <v>45916.294444444444</v>
      </c>
    </row>
    <row r="1293" spans="1:10" x14ac:dyDescent="0.2">
      <c r="A1293" s="2" t="s">
        <v>10</v>
      </c>
      <c r="B1293" s="3" t="str">
        <f t="shared" si="30"/>
        <v>France - HCP Survey Email - June 2025</v>
      </c>
      <c r="C1293" s="3" t="str">
        <f>HYPERLINK("https://otsuka-europe-crm.veevavault.com/ui/#object/sent_email__v/VBLZ025E82GNNY7", "SE-000272906")</f>
        <v>SE-000272906</v>
      </c>
      <c r="D1293" s="4">
        <v>45916.788217592592</v>
      </c>
      <c r="E1293" s="5">
        <v>1</v>
      </c>
      <c r="F1293" s="5">
        <v>1</v>
      </c>
      <c r="G1293" s="5">
        <v>0</v>
      </c>
      <c r="H1293" s="4" t="s">
        <v>11</v>
      </c>
      <c r="I1293" s="5">
        <v>0</v>
      </c>
      <c r="J1293" s="4">
        <v>45916.294212962966</v>
      </c>
    </row>
    <row r="1294" spans="1:10" x14ac:dyDescent="0.2">
      <c r="A1294" s="2" t="s">
        <v>10</v>
      </c>
      <c r="B1294" s="3" t="str">
        <f t="shared" si="30"/>
        <v>France - HCP Survey Email - June 2025</v>
      </c>
      <c r="C1294" s="3" t="str">
        <f>HYPERLINK("https://otsuka-europe-crm.veevavault.com/ui/#object/sent_email__v/VBLZ025E82GNNY8", "SE-000272907")</f>
        <v>SE-000272907</v>
      </c>
      <c r="D1294" s="4" t="s">
        <v>11</v>
      </c>
      <c r="E1294" s="5">
        <v>0</v>
      </c>
      <c r="F1294" s="5">
        <v>0</v>
      </c>
      <c r="G1294" s="5">
        <v>0</v>
      </c>
      <c r="H1294" s="4" t="s">
        <v>11</v>
      </c>
      <c r="I1294" s="5">
        <v>0</v>
      </c>
      <c r="J1294" s="4">
        <v>45916.294861111113</v>
      </c>
    </row>
    <row r="1295" spans="1:10" x14ac:dyDescent="0.2">
      <c r="A1295" s="2" t="s">
        <v>10</v>
      </c>
      <c r="B1295" s="3" t="str">
        <f t="shared" si="30"/>
        <v>France - HCP Survey Email - June 2025</v>
      </c>
      <c r="C1295" s="3" t="str">
        <f>HYPERLINK("https://otsuka-europe-crm.veevavault.com/ui/#object/sent_email__v/VBLZ025E82GNNY9", "SE-000272908")</f>
        <v>SE-000272908</v>
      </c>
      <c r="D1295" s="4" t="s">
        <v>11</v>
      </c>
      <c r="E1295" s="5">
        <v>0</v>
      </c>
      <c r="F1295" s="5">
        <v>0</v>
      </c>
      <c r="G1295" s="5">
        <v>0</v>
      </c>
      <c r="H1295" s="4" t="s">
        <v>11</v>
      </c>
      <c r="I1295" s="5">
        <v>0</v>
      </c>
      <c r="J1295" s="4">
        <v>45916.294432870367</v>
      </c>
    </row>
    <row r="1296" spans="1:10" x14ac:dyDescent="0.2">
      <c r="A1296" s="2" t="s">
        <v>10</v>
      </c>
      <c r="B1296" s="3" t="str">
        <f t="shared" si="30"/>
        <v>France - HCP Survey Email - June 2025</v>
      </c>
      <c r="C1296" s="3" t="str">
        <f>HYPERLINK("https://otsuka-europe-crm.veevavault.com/ui/#object/sent_email__v/VBLZ025E82GNNYB", "SE-000272910")</f>
        <v>SE-000272910</v>
      </c>
      <c r="D1296" s="4" t="s">
        <v>11</v>
      </c>
      <c r="E1296" s="5">
        <v>0</v>
      </c>
      <c r="F1296" s="5">
        <v>0</v>
      </c>
      <c r="G1296" s="5">
        <v>0</v>
      </c>
      <c r="H1296" s="4" t="s">
        <v>11</v>
      </c>
      <c r="I1296" s="5">
        <v>0</v>
      </c>
      <c r="J1296" s="4">
        <v>45916.294942129629</v>
      </c>
    </row>
    <row r="1297" spans="1:10" x14ac:dyDescent="0.2">
      <c r="A1297" s="2" t="s">
        <v>10</v>
      </c>
      <c r="B1297" s="3" t="str">
        <f t="shared" si="30"/>
        <v>France - HCP Survey Email - June 2025</v>
      </c>
      <c r="C1297" s="3" t="str">
        <f>HYPERLINK("https://otsuka-europe-crm.veevavault.com/ui/#object/sent_email__v/VBLZ025E82GNNYC", "SE-000272911")</f>
        <v>SE-000272911</v>
      </c>
      <c r="D1297" s="4">
        <v>45916.294907407406</v>
      </c>
      <c r="E1297" s="5">
        <v>1</v>
      </c>
      <c r="F1297" s="5">
        <v>2</v>
      </c>
      <c r="G1297" s="5">
        <v>1</v>
      </c>
      <c r="H1297" s="4">
        <v>45916.294907407406</v>
      </c>
      <c r="I1297" s="5">
        <v>2</v>
      </c>
      <c r="J1297" s="4">
        <v>45916.294722222221</v>
      </c>
    </row>
    <row r="1298" spans="1:10" x14ac:dyDescent="0.2">
      <c r="A1298" s="2" t="s">
        <v>10</v>
      </c>
      <c r="B1298" s="3" t="str">
        <f t="shared" si="30"/>
        <v>France - HCP Survey Email - June 2025</v>
      </c>
      <c r="C1298" s="3" t="str">
        <f>HYPERLINK("https://otsuka-europe-crm.veevavault.com/ui/#object/sent_email__v/VBLZ025E82GNNYD", "SE-000272912")</f>
        <v>SE-000272912</v>
      </c>
      <c r="D1298" s="4" t="s">
        <v>11</v>
      </c>
      <c r="E1298" s="5">
        <v>0</v>
      </c>
      <c r="F1298" s="5">
        <v>0</v>
      </c>
      <c r="G1298" s="5">
        <v>0</v>
      </c>
      <c r="H1298" s="4" t="s">
        <v>11</v>
      </c>
      <c r="I1298" s="5">
        <v>0</v>
      </c>
      <c r="J1298" s="4">
        <v>45916.294398148151</v>
      </c>
    </row>
    <row r="1299" spans="1:10" x14ac:dyDescent="0.2">
      <c r="A1299" s="2" t="s">
        <v>10</v>
      </c>
      <c r="B1299" s="3" t="str">
        <f t="shared" si="30"/>
        <v>France - HCP Survey Email - June 2025</v>
      </c>
      <c r="C1299" s="3" t="str">
        <f>HYPERLINK("https://otsuka-europe-crm.veevavault.com/ui/#object/sent_email__v/VBLZ025E82GNNYE", "SE-000272913")</f>
        <v>SE-000272913</v>
      </c>
      <c r="D1299" s="4" t="s">
        <v>11</v>
      </c>
      <c r="E1299" s="5">
        <v>0</v>
      </c>
      <c r="F1299" s="5">
        <v>0</v>
      </c>
      <c r="G1299" s="5">
        <v>0</v>
      </c>
      <c r="H1299" s="4" t="s">
        <v>11</v>
      </c>
      <c r="I1299" s="5">
        <v>0</v>
      </c>
      <c r="J1299" s="4">
        <v>45916.294236111113</v>
      </c>
    </row>
    <row r="1300" spans="1:10" x14ac:dyDescent="0.2">
      <c r="A1300" s="2" t="s">
        <v>10</v>
      </c>
      <c r="B1300" s="3" t="str">
        <f t="shared" si="30"/>
        <v>France - HCP Survey Email - June 2025</v>
      </c>
      <c r="C1300" s="3" t="str">
        <f>HYPERLINK("https://otsuka-europe-crm.veevavault.com/ui/#object/sent_email__v/VBLZ025E82GNNYF", "SE-000272914")</f>
        <v>SE-000272914</v>
      </c>
      <c r="D1300" s="4">
        <v>45916.405532407407</v>
      </c>
      <c r="E1300" s="5">
        <v>1</v>
      </c>
      <c r="F1300" s="5">
        <v>1</v>
      </c>
      <c r="G1300" s="5">
        <v>0</v>
      </c>
      <c r="H1300" s="4" t="s">
        <v>11</v>
      </c>
      <c r="I1300" s="5">
        <v>0</v>
      </c>
      <c r="J1300" s="4">
        <v>45916.294861111113</v>
      </c>
    </row>
    <row r="1301" spans="1:10" x14ac:dyDescent="0.2">
      <c r="A1301" s="2" t="s">
        <v>10</v>
      </c>
      <c r="B1301" s="3" t="str">
        <f t="shared" si="30"/>
        <v>France - HCP Survey Email - June 2025</v>
      </c>
      <c r="C1301" s="3" t="str">
        <f>HYPERLINK("https://otsuka-europe-crm.veevavault.com/ui/#object/sent_email__v/VBLZ025E82GNNYG", "SE-000272915")</f>
        <v>SE-000272915</v>
      </c>
      <c r="D1301" s="4" t="s">
        <v>11</v>
      </c>
      <c r="E1301" s="5">
        <v>0</v>
      </c>
      <c r="F1301" s="5">
        <v>0</v>
      </c>
      <c r="G1301" s="5">
        <v>0</v>
      </c>
      <c r="H1301" s="4" t="s">
        <v>11</v>
      </c>
      <c r="I1301" s="5">
        <v>0</v>
      </c>
      <c r="J1301" s="4">
        <v>45916.294641203705</v>
      </c>
    </row>
    <row r="1302" spans="1:10" x14ac:dyDescent="0.2">
      <c r="A1302" s="2" t="s">
        <v>10</v>
      </c>
      <c r="B1302" s="3" t="str">
        <f t="shared" si="30"/>
        <v>France - HCP Survey Email - June 2025</v>
      </c>
      <c r="C1302" s="3" t="str">
        <f>HYPERLINK("https://otsuka-europe-crm.veevavault.com/ui/#object/sent_email__v/VBLZ025E82GNNYH", "SE-000272916")</f>
        <v>SE-000272916</v>
      </c>
      <c r="D1302" s="4" t="s">
        <v>11</v>
      </c>
      <c r="E1302" s="5">
        <v>0</v>
      </c>
      <c r="F1302" s="5">
        <v>0</v>
      </c>
      <c r="G1302" s="5">
        <v>0</v>
      </c>
      <c r="H1302" s="4" t="s">
        <v>11</v>
      </c>
      <c r="I1302" s="5">
        <v>0</v>
      </c>
      <c r="J1302" s="4">
        <v>45916.294398148151</v>
      </c>
    </row>
    <row r="1303" spans="1:10" x14ac:dyDescent="0.2">
      <c r="A1303" s="2" t="s">
        <v>10</v>
      </c>
      <c r="B1303" s="3" t="str">
        <f t="shared" si="30"/>
        <v>France - HCP Survey Email - June 2025</v>
      </c>
      <c r="C1303" s="3" t="str">
        <f>HYPERLINK("https://otsuka-europe-crm.veevavault.com/ui/#object/sent_email__v/VBLZ025E82GNNYI", "SE-000272917")</f>
        <v>SE-000272917</v>
      </c>
      <c r="D1303" s="4" t="s">
        <v>11</v>
      </c>
      <c r="E1303" s="5">
        <v>0</v>
      </c>
      <c r="F1303" s="5">
        <v>0</v>
      </c>
      <c r="G1303" s="5">
        <v>0</v>
      </c>
      <c r="H1303" s="4" t="s">
        <v>11</v>
      </c>
      <c r="I1303" s="5">
        <v>0</v>
      </c>
      <c r="J1303" s="4">
        <v>45916.294340277775</v>
      </c>
    </row>
    <row r="1304" spans="1:10" x14ac:dyDescent="0.2">
      <c r="A1304" s="2" t="s">
        <v>10</v>
      </c>
      <c r="B1304" s="3" t="str">
        <f t="shared" si="30"/>
        <v>France - HCP Survey Email - June 2025</v>
      </c>
      <c r="C1304" s="3" t="str">
        <f>HYPERLINK("https://otsuka-europe-crm.veevavault.com/ui/#object/sent_email__v/VBLZ025E82GNNYJ", "SE-000272918")</f>
        <v>SE-000272918</v>
      </c>
      <c r="D1304" s="4" t="s">
        <v>11</v>
      </c>
      <c r="E1304" s="5">
        <v>0</v>
      </c>
      <c r="F1304" s="5">
        <v>0</v>
      </c>
      <c r="G1304" s="5">
        <v>0</v>
      </c>
      <c r="H1304" s="4" t="s">
        <v>11</v>
      </c>
      <c r="I1304" s="5">
        <v>0</v>
      </c>
      <c r="J1304" s="4">
        <v>45916.29420138889</v>
      </c>
    </row>
    <row r="1305" spans="1:10" x14ac:dyDescent="0.2">
      <c r="A1305" s="2" t="s">
        <v>10</v>
      </c>
      <c r="B1305" s="3" t="str">
        <f t="shared" si="30"/>
        <v>France - HCP Survey Email - June 2025</v>
      </c>
      <c r="C1305" s="3" t="str">
        <f>HYPERLINK("https://otsuka-europe-crm.veevavault.com/ui/#object/sent_email__v/VBLZ025E82GNNYK", "SE-000272919")</f>
        <v>SE-000272919</v>
      </c>
      <c r="D1305" s="4" t="s">
        <v>11</v>
      </c>
      <c r="E1305" s="5">
        <v>0</v>
      </c>
      <c r="F1305" s="5">
        <v>0</v>
      </c>
      <c r="G1305" s="5">
        <v>0</v>
      </c>
      <c r="H1305" s="4" t="s">
        <v>11</v>
      </c>
      <c r="I1305" s="5">
        <v>0</v>
      </c>
      <c r="J1305" s="4">
        <v>45916.294756944444</v>
      </c>
    </row>
    <row r="1306" spans="1:10" x14ac:dyDescent="0.2">
      <c r="A1306" s="2" t="s">
        <v>10</v>
      </c>
      <c r="B1306" s="3" t="str">
        <f t="shared" si="30"/>
        <v>France - HCP Survey Email - June 2025</v>
      </c>
      <c r="C1306" s="3" t="str">
        <f>HYPERLINK("https://otsuka-europe-crm.veevavault.com/ui/#object/sent_email__v/VBLZ025E82GNNYL", "SE-000272920")</f>
        <v>SE-000272920</v>
      </c>
      <c r="D1306" s="4" t="s">
        <v>11</v>
      </c>
      <c r="E1306" s="5">
        <v>0</v>
      </c>
      <c r="F1306" s="5">
        <v>0</v>
      </c>
      <c r="G1306" s="5">
        <v>0</v>
      </c>
      <c r="H1306" s="4" t="s">
        <v>11</v>
      </c>
      <c r="I1306" s="5">
        <v>0</v>
      </c>
      <c r="J1306" s="4">
        <v>45916.294722222221</v>
      </c>
    </row>
    <row r="1307" spans="1:10" x14ac:dyDescent="0.2">
      <c r="A1307" s="2" t="s">
        <v>10</v>
      </c>
      <c r="B1307" s="3" t="str">
        <f t="shared" si="30"/>
        <v>France - HCP Survey Email - June 2025</v>
      </c>
      <c r="C1307" s="3" t="str">
        <f>HYPERLINK("https://otsuka-europe-crm.veevavault.com/ui/#object/sent_email__v/VBLZ025E82GNNYM", "SE-000272921")</f>
        <v>SE-000272921</v>
      </c>
      <c r="D1307" s="4" t="s">
        <v>11</v>
      </c>
      <c r="E1307" s="5">
        <v>0</v>
      </c>
      <c r="F1307" s="5">
        <v>0</v>
      </c>
      <c r="G1307" s="5">
        <v>0</v>
      </c>
      <c r="H1307" s="4" t="s">
        <v>11</v>
      </c>
      <c r="I1307" s="5">
        <v>0</v>
      </c>
      <c r="J1307" s="4">
        <v>45916.294444444444</v>
      </c>
    </row>
    <row r="1308" spans="1:10" x14ac:dyDescent="0.2">
      <c r="A1308" s="2" t="s">
        <v>10</v>
      </c>
      <c r="B1308" s="3" t="str">
        <f t="shared" si="30"/>
        <v>France - HCP Survey Email - June 2025</v>
      </c>
      <c r="C1308" s="3" t="str">
        <f>HYPERLINK("https://otsuka-europe-crm.veevavault.com/ui/#object/sent_email__v/VBLZ025E82GNNYN", "SE-000272922")</f>
        <v>SE-000272922</v>
      </c>
      <c r="D1308" s="4">
        <v>45916.294918981483</v>
      </c>
      <c r="E1308" s="5">
        <v>1</v>
      </c>
      <c r="F1308" s="5">
        <v>1</v>
      </c>
      <c r="G1308" s="5">
        <v>1</v>
      </c>
      <c r="H1308" s="4">
        <v>45916.294918981483</v>
      </c>
      <c r="I1308" s="5">
        <v>1</v>
      </c>
      <c r="J1308" s="4">
        <v>45916.294895833336</v>
      </c>
    </row>
    <row r="1309" spans="1:10" x14ac:dyDescent="0.2">
      <c r="A1309" s="2" t="s">
        <v>10</v>
      </c>
      <c r="B1309" s="3" t="str">
        <f t="shared" si="30"/>
        <v>France - HCP Survey Email - June 2025</v>
      </c>
      <c r="C1309" s="3" t="str">
        <f>HYPERLINK("https://otsuka-europe-crm.veevavault.com/ui/#object/sent_email__v/VBLZ025E82GNNYO", "SE-000272923")</f>
        <v>SE-000272923</v>
      </c>
      <c r="D1309" s="4">
        <v>45916.300787037035</v>
      </c>
      <c r="E1309" s="5">
        <v>1</v>
      </c>
      <c r="F1309" s="5">
        <v>1</v>
      </c>
      <c r="G1309" s="5">
        <v>0</v>
      </c>
      <c r="H1309" s="4" t="s">
        <v>11</v>
      </c>
      <c r="I1309" s="5">
        <v>0</v>
      </c>
      <c r="J1309" s="4">
        <v>45916.294745370367</v>
      </c>
    </row>
    <row r="1310" spans="1:10" x14ac:dyDescent="0.2">
      <c r="A1310" s="2" t="s">
        <v>10</v>
      </c>
      <c r="B1310" s="3" t="str">
        <f t="shared" si="30"/>
        <v>France - HCP Survey Email - June 2025</v>
      </c>
      <c r="C1310" s="3" t="str">
        <f>HYPERLINK("https://otsuka-europe-crm.veevavault.com/ui/#object/sent_email__v/VBLZ025E82GNNYP", "SE-000272924")</f>
        <v>SE-000272924</v>
      </c>
      <c r="D1310" s="4" t="s">
        <v>11</v>
      </c>
      <c r="E1310" s="5">
        <v>0</v>
      </c>
      <c r="F1310" s="5">
        <v>0</v>
      </c>
      <c r="G1310" s="5">
        <v>0</v>
      </c>
      <c r="H1310" s="4" t="s">
        <v>11</v>
      </c>
      <c r="I1310" s="5">
        <v>0</v>
      </c>
      <c r="J1310" s="4">
        <v>45916.29451388889</v>
      </c>
    </row>
    <row r="1311" spans="1:10" x14ac:dyDescent="0.2">
      <c r="A1311" s="2" t="s">
        <v>10</v>
      </c>
      <c r="B1311" s="3" t="str">
        <f t="shared" si="30"/>
        <v>France - HCP Survey Email - June 2025</v>
      </c>
      <c r="C1311" s="3" t="str">
        <f>HYPERLINK("https://otsuka-europe-crm.veevavault.com/ui/#object/sent_email__v/VBLZ025E82GNNYQ", "SE-000272925")</f>
        <v>SE-000272925</v>
      </c>
      <c r="D1311" s="4">
        <v>45916.329722222225</v>
      </c>
      <c r="E1311" s="5">
        <v>1</v>
      </c>
      <c r="F1311" s="5">
        <v>1</v>
      </c>
      <c r="G1311" s="5">
        <v>0</v>
      </c>
      <c r="H1311" s="4" t="s">
        <v>11</v>
      </c>
      <c r="I1311" s="5">
        <v>0</v>
      </c>
      <c r="J1311" s="4">
        <v>45916.294305555559</v>
      </c>
    </row>
    <row r="1312" spans="1:10" x14ac:dyDescent="0.2">
      <c r="A1312" s="2" t="s">
        <v>10</v>
      </c>
      <c r="B1312" s="3" t="str">
        <f t="shared" si="30"/>
        <v>France - HCP Survey Email - June 2025</v>
      </c>
      <c r="C1312" s="3" t="str">
        <f>HYPERLINK("https://otsuka-europe-crm.veevavault.com/ui/#object/sent_email__v/VBLZ025E82GNNYR", "SE-000272926")</f>
        <v>SE-000272926</v>
      </c>
      <c r="D1312" s="4" t="s">
        <v>11</v>
      </c>
      <c r="E1312" s="5">
        <v>0</v>
      </c>
      <c r="F1312" s="5">
        <v>0</v>
      </c>
      <c r="G1312" s="5">
        <v>0</v>
      </c>
      <c r="H1312" s="4" t="s">
        <v>11</v>
      </c>
      <c r="I1312" s="5">
        <v>0</v>
      </c>
      <c r="J1312" s="4">
        <v>45916.295034722221</v>
      </c>
    </row>
    <row r="1313" spans="1:10" x14ac:dyDescent="0.2">
      <c r="A1313" s="2" t="s">
        <v>10</v>
      </c>
      <c r="B1313" s="3" t="str">
        <f t="shared" si="30"/>
        <v>France - HCP Survey Email - June 2025</v>
      </c>
      <c r="C1313" s="3" t="str">
        <f>HYPERLINK("https://otsuka-europe-crm.veevavault.com/ui/#object/sent_email__v/VBLZ025E82GNNYS", "SE-000272927")</f>
        <v>SE-000272927</v>
      </c>
      <c r="D1313" s="4" t="s">
        <v>11</v>
      </c>
      <c r="E1313" s="5">
        <v>0</v>
      </c>
      <c r="F1313" s="5">
        <v>0</v>
      </c>
      <c r="G1313" s="5">
        <v>0</v>
      </c>
      <c r="H1313" s="4" t="s">
        <v>11</v>
      </c>
      <c r="I1313" s="5">
        <v>0</v>
      </c>
      <c r="J1313" s="4">
        <v>45916.294722222221</v>
      </c>
    </row>
    <row r="1314" spans="1:10" x14ac:dyDescent="0.2">
      <c r="A1314" s="2" t="s">
        <v>10</v>
      </c>
      <c r="B1314" s="3" t="str">
        <f t="shared" si="30"/>
        <v>France - HCP Survey Email - June 2025</v>
      </c>
      <c r="C1314" s="3" t="str">
        <f>HYPERLINK("https://otsuka-europe-crm.veevavault.com/ui/#object/sent_email__v/VBLZ025E82GNNYT", "SE-000272928")</f>
        <v>SE-000272928</v>
      </c>
      <c r="D1314" s="4" t="s">
        <v>11</v>
      </c>
      <c r="E1314" s="5">
        <v>0</v>
      </c>
      <c r="F1314" s="5">
        <v>0</v>
      </c>
      <c r="G1314" s="5">
        <v>0</v>
      </c>
      <c r="H1314" s="4" t="s">
        <v>11</v>
      </c>
      <c r="I1314" s="5">
        <v>0</v>
      </c>
      <c r="J1314" s="4">
        <v>45916.294351851851</v>
      </c>
    </row>
    <row r="1315" spans="1:10" x14ac:dyDescent="0.2">
      <c r="A1315" s="2" t="s">
        <v>10</v>
      </c>
      <c r="B1315" s="3" t="str">
        <f t="shared" si="30"/>
        <v>France - HCP Survey Email - June 2025</v>
      </c>
      <c r="C1315" s="3" t="str">
        <f>HYPERLINK("https://otsuka-europe-crm.veevavault.com/ui/#object/sent_email__v/VBLZ025E82GNNYU", "SE-000272929")</f>
        <v>SE-000272929</v>
      </c>
      <c r="D1315" s="4">
        <v>45930.993692129632</v>
      </c>
      <c r="E1315" s="5">
        <v>1</v>
      </c>
      <c r="F1315" s="5">
        <v>2</v>
      </c>
      <c r="G1315" s="5">
        <v>0</v>
      </c>
      <c r="H1315" s="4" t="s">
        <v>11</v>
      </c>
      <c r="I1315" s="5">
        <v>0</v>
      </c>
      <c r="J1315" s="4">
        <v>45916.294259259259</v>
      </c>
    </row>
    <row r="1316" spans="1:10" x14ac:dyDescent="0.2">
      <c r="A1316" s="2" t="s">
        <v>10</v>
      </c>
      <c r="B1316" s="3" t="str">
        <f t="shared" si="30"/>
        <v>France - HCP Survey Email - June 2025</v>
      </c>
      <c r="C1316" s="3" t="str">
        <f>HYPERLINK("https://otsuka-europe-crm.veevavault.com/ui/#object/sent_email__v/VBLZ025E82GNNYW", "SE-000272931")</f>
        <v>SE-000272931</v>
      </c>
      <c r="D1316" s="4" t="s">
        <v>11</v>
      </c>
      <c r="E1316" s="5">
        <v>0</v>
      </c>
      <c r="F1316" s="5">
        <v>0</v>
      </c>
      <c r="G1316" s="5">
        <v>0</v>
      </c>
      <c r="H1316" s="4" t="s">
        <v>11</v>
      </c>
      <c r="I1316" s="5">
        <v>0</v>
      </c>
      <c r="J1316" s="4">
        <v>45916.294733796298</v>
      </c>
    </row>
    <row r="1317" spans="1:10" x14ac:dyDescent="0.2">
      <c r="A1317" s="2" t="s">
        <v>10</v>
      </c>
      <c r="B1317" s="3" t="str">
        <f t="shared" si="30"/>
        <v>France - HCP Survey Email - June 2025</v>
      </c>
      <c r="C1317" s="3" t="str">
        <f>HYPERLINK("https://otsuka-europe-crm.veevavault.com/ui/#object/sent_email__v/VBLZ025E82GNNYX", "SE-000272932")</f>
        <v>SE-000272932</v>
      </c>
      <c r="D1317" s="4" t="s">
        <v>11</v>
      </c>
      <c r="E1317" s="5">
        <v>0</v>
      </c>
      <c r="F1317" s="5">
        <v>0</v>
      </c>
      <c r="G1317" s="5">
        <v>0</v>
      </c>
      <c r="H1317" s="4" t="s">
        <v>11</v>
      </c>
      <c r="I1317" s="5">
        <v>0</v>
      </c>
      <c r="J1317" s="4">
        <v>45916.294432870367</v>
      </c>
    </row>
    <row r="1318" spans="1:10" x14ac:dyDescent="0.2">
      <c r="A1318" s="2" t="s">
        <v>10</v>
      </c>
      <c r="B1318" s="3" t="str">
        <f t="shared" si="30"/>
        <v>France - HCP Survey Email - June 2025</v>
      </c>
      <c r="C1318" s="3" t="str">
        <f>HYPERLINK("https://otsuka-europe-crm.veevavault.com/ui/#object/sent_email__v/VBLZ025E82GNNYY", "SE-000272933")</f>
        <v>SE-000272933</v>
      </c>
      <c r="D1318" s="4" t="s">
        <v>11</v>
      </c>
      <c r="E1318" s="5">
        <v>0</v>
      </c>
      <c r="F1318" s="5">
        <v>0</v>
      </c>
      <c r="G1318" s="5">
        <v>0</v>
      </c>
      <c r="H1318" s="4" t="s">
        <v>11</v>
      </c>
      <c r="I1318" s="5">
        <v>0</v>
      </c>
      <c r="J1318" s="4">
        <v>45916.294976851852</v>
      </c>
    </row>
    <row r="1319" spans="1:10" x14ac:dyDescent="0.2">
      <c r="A1319" s="2" t="s">
        <v>10</v>
      </c>
      <c r="B1319" s="3" t="str">
        <f t="shared" si="30"/>
        <v>France - HCP Survey Email - June 2025</v>
      </c>
      <c r="C1319" s="3" t="str">
        <f>HYPERLINK("https://otsuka-europe-crm.veevavault.com/ui/#object/sent_email__v/VBLZ025E82GNNYZ", "SE-000272934")</f>
        <v>SE-000272934</v>
      </c>
      <c r="D1319" s="4" t="s">
        <v>11</v>
      </c>
      <c r="E1319" s="5">
        <v>0</v>
      </c>
      <c r="F1319" s="5">
        <v>0</v>
      </c>
      <c r="G1319" s="5">
        <v>0</v>
      </c>
      <c r="H1319" s="4" t="s">
        <v>11</v>
      </c>
      <c r="I1319" s="5">
        <v>0</v>
      </c>
      <c r="J1319" s="4">
        <v>45916.294675925928</v>
      </c>
    </row>
    <row r="1320" spans="1:10" x14ac:dyDescent="0.2">
      <c r="A1320" s="2" t="s">
        <v>10</v>
      </c>
      <c r="B1320" s="3" t="str">
        <f t="shared" si="30"/>
        <v>France - HCP Survey Email - June 2025</v>
      </c>
      <c r="C1320" s="3" t="str">
        <f>HYPERLINK("https://otsuka-europe-crm.veevavault.com/ui/#object/sent_email__v/VBLZ025E82GNNZ0", "SE-000272935")</f>
        <v>SE-000272935</v>
      </c>
      <c r="D1320" s="4">
        <v>45922.64603009259</v>
      </c>
      <c r="E1320" s="5">
        <v>1</v>
      </c>
      <c r="F1320" s="5">
        <v>1</v>
      </c>
      <c r="G1320" s="5">
        <v>0</v>
      </c>
      <c r="H1320" s="4" t="s">
        <v>11</v>
      </c>
      <c r="I1320" s="5">
        <v>0</v>
      </c>
      <c r="J1320" s="4">
        <v>45916.294444444444</v>
      </c>
    </row>
    <row r="1321" spans="1:10" x14ac:dyDescent="0.2">
      <c r="A1321" s="2" t="s">
        <v>10</v>
      </c>
      <c r="B1321" s="3" t="str">
        <f t="shared" si="30"/>
        <v>France - HCP Survey Email - June 2025</v>
      </c>
      <c r="C1321" s="3" t="str">
        <f>HYPERLINK("https://otsuka-europe-crm.veevavault.com/ui/#object/sent_email__v/VBLZ025E82GNNZ1", "SE-000272936")</f>
        <v>SE-000272936</v>
      </c>
      <c r="D1321" s="4" t="s">
        <v>11</v>
      </c>
      <c r="E1321" s="5">
        <v>0</v>
      </c>
      <c r="F1321" s="5">
        <v>0</v>
      </c>
      <c r="G1321" s="5">
        <v>0</v>
      </c>
      <c r="H1321" s="4" t="s">
        <v>11</v>
      </c>
      <c r="I1321" s="5">
        <v>0</v>
      </c>
      <c r="J1321" s="4">
        <v>45916.294386574074</v>
      </c>
    </row>
    <row r="1322" spans="1:10" x14ac:dyDescent="0.2">
      <c r="A1322" s="2" t="s">
        <v>10</v>
      </c>
      <c r="B1322" s="3" t="str">
        <f t="shared" si="30"/>
        <v>France - HCP Survey Email - June 2025</v>
      </c>
      <c r="C1322" s="3" t="str">
        <f>HYPERLINK("https://otsuka-europe-crm.veevavault.com/ui/#object/sent_email__v/VBLZ025E82GNNZ2", "SE-000272937")</f>
        <v>SE-000272937</v>
      </c>
      <c r="D1322" s="4">
        <v>45916.516226851854</v>
      </c>
      <c r="E1322" s="5">
        <v>1</v>
      </c>
      <c r="F1322" s="5">
        <v>1</v>
      </c>
      <c r="G1322" s="5">
        <v>1</v>
      </c>
      <c r="H1322" s="4">
        <v>45916.516736111109</v>
      </c>
      <c r="I1322" s="5">
        <v>3</v>
      </c>
      <c r="J1322" s="4">
        <v>45916.294953703706</v>
      </c>
    </row>
    <row r="1323" spans="1:10" x14ac:dyDescent="0.2">
      <c r="A1323" s="2" t="s">
        <v>10</v>
      </c>
      <c r="B1323" s="3" t="str">
        <f t="shared" si="30"/>
        <v>France - HCP Survey Email - June 2025</v>
      </c>
      <c r="C1323" s="3" t="str">
        <f>HYPERLINK("https://otsuka-europe-crm.veevavault.com/ui/#object/sent_email__v/VBLZ025E82GNNZ3", "SE-000272938")</f>
        <v>SE-000272938</v>
      </c>
      <c r="D1323" s="4" t="s">
        <v>11</v>
      </c>
      <c r="E1323" s="5">
        <v>0</v>
      </c>
      <c r="F1323" s="5">
        <v>0</v>
      </c>
      <c r="G1323" s="5">
        <v>0</v>
      </c>
      <c r="H1323" s="4" t="s">
        <v>11</v>
      </c>
      <c r="I1323" s="5">
        <v>0</v>
      </c>
      <c r="J1323" s="4">
        <v>45916.294583333336</v>
      </c>
    </row>
    <row r="1324" spans="1:10" x14ac:dyDescent="0.2">
      <c r="A1324" s="2" t="s">
        <v>10</v>
      </c>
      <c r="B1324" s="3" t="str">
        <f t="shared" si="30"/>
        <v>France - HCP Survey Email - June 2025</v>
      </c>
      <c r="C1324" s="3" t="str">
        <f>HYPERLINK("https://otsuka-europe-crm.veevavault.com/ui/#object/sent_email__v/VBLZ025E82GNNZ4", "SE-000272939")</f>
        <v>SE-000272939</v>
      </c>
      <c r="D1324" s="4" t="s">
        <v>11</v>
      </c>
      <c r="E1324" s="5">
        <v>0</v>
      </c>
      <c r="F1324" s="5">
        <v>0</v>
      </c>
      <c r="G1324" s="5">
        <v>0</v>
      </c>
      <c r="H1324" s="4" t="s">
        <v>11</v>
      </c>
      <c r="I1324" s="5">
        <v>0</v>
      </c>
      <c r="J1324" s="4">
        <v>45916.294421296298</v>
      </c>
    </row>
    <row r="1325" spans="1:10" x14ac:dyDescent="0.2">
      <c r="A1325" s="2" t="s">
        <v>10</v>
      </c>
      <c r="B1325" s="3" t="str">
        <f t="shared" si="30"/>
        <v>France - HCP Survey Email - June 2025</v>
      </c>
      <c r="C1325" s="3" t="str">
        <f>HYPERLINK("https://otsuka-europe-crm.veevavault.com/ui/#object/sent_email__v/VBLZ025E82GNNZ5", "SE-000272940")</f>
        <v>SE-000272940</v>
      </c>
      <c r="D1325" s="4" t="s">
        <v>11</v>
      </c>
      <c r="E1325" s="5">
        <v>0</v>
      </c>
      <c r="F1325" s="5">
        <v>0</v>
      </c>
      <c r="G1325" s="5">
        <v>0</v>
      </c>
      <c r="H1325" s="4" t="s">
        <v>11</v>
      </c>
      <c r="I1325" s="5">
        <v>0</v>
      </c>
      <c r="J1325" s="4">
        <v>45916.294212962966</v>
      </c>
    </row>
    <row r="1326" spans="1:10" x14ac:dyDescent="0.2">
      <c r="A1326" s="2" t="s">
        <v>10</v>
      </c>
      <c r="B1326" s="3" t="str">
        <f t="shared" si="30"/>
        <v>France - HCP Survey Email - June 2025</v>
      </c>
      <c r="C1326" s="3" t="str">
        <f>HYPERLINK("https://otsuka-europe-crm.veevavault.com/ui/#object/sent_email__v/VBLZ025E82GNNZ6", "SE-000272941")</f>
        <v>SE-000272941</v>
      </c>
      <c r="D1326" s="4" t="s">
        <v>11</v>
      </c>
      <c r="E1326" s="5">
        <v>0</v>
      </c>
      <c r="F1326" s="5">
        <v>0</v>
      </c>
      <c r="G1326" s="5">
        <v>0</v>
      </c>
      <c r="H1326" s="4" t="s">
        <v>11</v>
      </c>
      <c r="I1326" s="5">
        <v>0</v>
      </c>
      <c r="J1326" s="4">
        <v>45916.294872685183</v>
      </c>
    </row>
    <row r="1327" spans="1:10" x14ac:dyDescent="0.2">
      <c r="A1327" s="2" t="s">
        <v>10</v>
      </c>
      <c r="B1327" s="3" t="str">
        <f t="shared" si="30"/>
        <v>France - HCP Survey Email - June 2025</v>
      </c>
      <c r="C1327" s="3" t="str">
        <f>HYPERLINK("https://otsuka-europe-crm.veevavault.com/ui/#object/sent_email__v/VBLZ025E82GNNZ7", "SE-000272942")</f>
        <v>SE-000272942</v>
      </c>
      <c r="D1327" s="4" t="s">
        <v>11</v>
      </c>
      <c r="E1327" s="5">
        <v>0</v>
      </c>
      <c r="F1327" s="5">
        <v>0</v>
      </c>
      <c r="G1327" s="5">
        <v>0</v>
      </c>
      <c r="H1327" s="4" t="s">
        <v>11</v>
      </c>
      <c r="I1327" s="5">
        <v>0</v>
      </c>
      <c r="J1327" s="4">
        <v>45916.294675925928</v>
      </c>
    </row>
    <row r="1328" spans="1:10" x14ac:dyDescent="0.2">
      <c r="A1328" s="2" t="s">
        <v>10</v>
      </c>
      <c r="B1328" s="3" t="str">
        <f t="shared" si="30"/>
        <v>France - HCP Survey Email - June 2025</v>
      </c>
      <c r="C1328" s="3" t="str">
        <f>HYPERLINK("https://otsuka-europe-crm.veevavault.com/ui/#object/sent_email__v/VBLZ025E82GNNZ8", "SE-000272943")</f>
        <v>SE-000272943</v>
      </c>
      <c r="D1328" s="4" t="s">
        <v>11</v>
      </c>
      <c r="E1328" s="5">
        <v>0</v>
      </c>
      <c r="F1328" s="5">
        <v>0</v>
      </c>
      <c r="G1328" s="5">
        <v>0</v>
      </c>
      <c r="H1328" s="4" t="s">
        <v>11</v>
      </c>
      <c r="I1328" s="5">
        <v>0</v>
      </c>
      <c r="J1328" s="4">
        <v>45916.294421296298</v>
      </c>
    </row>
    <row r="1329" spans="1:10" x14ac:dyDescent="0.2">
      <c r="A1329" s="2" t="s">
        <v>10</v>
      </c>
      <c r="B1329" s="3" t="str">
        <f t="shared" si="30"/>
        <v>France - HCP Survey Email - June 2025</v>
      </c>
      <c r="C1329" s="3" t="str">
        <f>HYPERLINK("https://otsuka-europe-crm.veevavault.com/ui/#object/sent_email__v/VBLZ025E82GNNZ9", "SE-000272944")</f>
        <v>SE-000272944</v>
      </c>
      <c r="D1329" s="4" t="s">
        <v>11</v>
      </c>
      <c r="E1329" s="5">
        <v>0</v>
      </c>
      <c r="F1329" s="5">
        <v>0</v>
      </c>
      <c r="G1329" s="5">
        <v>0</v>
      </c>
      <c r="H1329" s="4" t="s">
        <v>11</v>
      </c>
      <c r="I1329" s="5">
        <v>0</v>
      </c>
      <c r="J1329" s="4">
        <v>45916.294224537036</v>
      </c>
    </row>
    <row r="1330" spans="1:10" x14ac:dyDescent="0.2">
      <c r="A1330" s="2" t="s">
        <v>10</v>
      </c>
      <c r="B1330" s="3" t="str">
        <f t="shared" si="30"/>
        <v>France - HCP Survey Email - June 2025</v>
      </c>
      <c r="C1330" s="3" t="str">
        <f>HYPERLINK("https://otsuka-europe-crm.veevavault.com/ui/#object/sent_email__v/VBLZ025E82GNNZA", "SE-000272945")</f>
        <v>SE-000272945</v>
      </c>
      <c r="D1330" s="4" t="s">
        <v>11</v>
      </c>
      <c r="E1330" s="5">
        <v>0</v>
      </c>
      <c r="F1330" s="5">
        <v>0</v>
      </c>
      <c r="G1330" s="5">
        <v>0</v>
      </c>
      <c r="H1330" s="4" t="s">
        <v>11</v>
      </c>
      <c r="I1330" s="5">
        <v>0</v>
      </c>
      <c r="J1330" s="4">
        <v>45916.294710648152</v>
      </c>
    </row>
    <row r="1331" spans="1:10" x14ac:dyDescent="0.2">
      <c r="A1331" s="2" t="s">
        <v>10</v>
      </c>
      <c r="B1331" s="3" t="str">
        <f t="shared" si="30"/>
        <v>France - HCP Survey Email - June 2025</v>
      </c>
      <c r="C1331" s="3" t="str">
        <f>HYPERLINK("https://otsuka-europe-crm.veevavault.com/ui/#object/sent_email__v/VBLZ025E82GNNZB", "SE-000272946")</f>
        <v>SE-000272946</v>
      </c>
      <c r="D1331" s="4" t="s">
        <v>11</v>
      </c>
      <c r="E1331" s="5">
        <v>0</v>
      </c>
      <c r="F1331" s="5">
        <v>0</v>
      </c>
      <c r="G1331" s="5">
        <v>0</v>
      </c>
      <c r="H1331" s="4" t="s">
        <v>11</v>
      </c>
      <c r="I1331" s="5">
        <v>0</v>
      </c>
      <c r="J1331" s="4">
        <v>45916.294490740744</v>
      </c>
    </row>
    <row r="1332" spans="1:10" x14ac:dyDescent="0.2">
      <c r="A1332" s="2" t="s">
        <v>10</v>
      </c>
      <c r="B1332" s="3" t="str">
        <f t="shared" si="30"/>
        <v>France - HCP Survey Email - June 2025</v>
      </c>
      <c r="C1332" s="3" t="str">
        <f>HYPERLINK("https://otsuka-europe-crm.veevavault.com/ui/#object/sent_email__v/VBLZ025E82GNNZC", "SE-000272947")</f>
        <v>SE-000272947</v>
      </c>
      <c r="D1332" s="4" t="s">
        <v>11</v>
      </c>
      <c r="E1332" s="5">
        <v>0</v>
      </c>
      <c r="F1332" s="5">
        <v>0</v>
      </c>
      <c r="G1332" s="5">
        <v>0</v>
      </c>
      <c r="H1332" s="4" t="s">
        <v>11</v>
      </c>
      <c r="I1332" s="5">
        <v>0</v>
      </c>
      <c r="J1332" s="4">
        <v>45916.294270833336</v>
      </c>
    </row>
    <row r="1333" spans="1:10" x14ac:dyDescent="0.2">
      <c r="A1333" s="2" t="s">
        <v>10</v>
      </c>
      <c r="B1333" s="3" t="str">
        <f t="shared" si="30"/>
        <v>France - HCP Survey Email - June 2025</v>
      </c>
      <c r="C1333" s="3" t="str">
        <f>HYPERLINK("https://otsuka-europe-crm.veevavault.com/ui/#object/sent_email__v/VBLZ025E82GNNZD", "SE-000272948")</f>
        <v>SE-000272948</v>
      </c>
      <c r="D1333" s="4" t="s">
        <v>11</v>
      </c>
      <c r="E1333" s="5">
        <v>0</v>
      </c>
      <c r="F1333" s="5">
        <v>0</v>
      </c>
      <c r="G1333" s="5">
        <v>0</v>
      </c>
      <c r="H1333" s="4" t="s">
        <v>11</v>
      </c>
      <c r="I1333" s="5">
        <v>0</v>
      </c>
      <c r="J1333" s="4">
        <v>45916.294999999998</v>
      </c>
    </row>
    <row r="1334" spans="1:10" x14ac:dyDescent="0.2">
      <c r="A1334" s="2" t="s">
        <v>10</v>
      </c>
      <c r="B1334" s="3" t="str">
        <f t="shared" si="30"/>
        <v>France - HCP Survey Email - June 2025</v>
      </c>
      <c r="C1334" s="3" t="str">
        <f>HYPERLINK("https://otsuka-europe-crm.veevavault.com/ui/#object/sent_email__v/VBLZ025E82GNNZE", "SE-000272949")</f>
        <v>SE-000272949</v>
      </c>
      <c r="D1334" s="4" t="s">
        <v>11</v>
      </c>
      <c r="E1334" s="5">
        <v>0</v>
      </c>
      <c r="F1334" s="5">
        <v>0</v>
      </c>
      <c r="G1334" s="5">
        <v>0</v>
      </c>
      <c r="H1334" s="4" t="s">
        <v>11</v>
      </c>
      <c r="I1334" s="5">
        <v>0</v>
      </c>
      <c r="J1334" s="4">
        <v>45916.294745370367</v>
      </c>
    </row>
    <row r="1335" spans="1:10" x14ac:dyDescent="0.2">
      <c r="A1335" s="2" t="s">
        <v>10</v>
      </c>
      <c r="B1335" s="3" t="str">
        <f t="shared" si="30"/>
        <v>France - HCP Survey Email - June 2025</v>
      </c>
      <c r="C1335" s="3" t="str">
        <f>HYPERLINK("https://otsuka-europe-crm.veevavault.com/ui/#object/sent_email__v/VBLZ025E82GNNZF", "SE-000272950")</f>
        <v>SE-000272950</v>
      </c>
      <c r="D1335" s="4" t="s">
        <v>11</v>
      </c>
      <c r="E1335" s="5">
        <v>0</v>
      </c>
      <c r="F1335" s="5">
        <v>0</v>
      </c>
      <c r="G1335" s="5">
        <v>0</v>
      </c>
      <c r="H1335" s="4" t="s">
        <v>11</v>
      </c>
      <c r="I1335" s="5">
        <v>0</v>
      </c>
      <c r="J1335" s="4">
        <v>45916.294374999998</v>
      </c>
    </row>
    <row r="1336" spans="1:10" x14ac:dyDescent="0.2">
      <c r="A1336" s="2" t="s">
        <v>10</v>
      </c>
      <c r="B1336" s="3" t="str">
        <f t="shared" si="30"/>
        <v>France - HCP Survey Email - June 2025</v>
      </c>
      <c r="C1336" s="3" t="str">
        <f>HYPERLINK("https://otsuka-europe-crm.veevavault.com/ui/#object/sent_email__v/VBLZ025E82GNNZG", "SE-000272951")</f>
        <v>SE-000272951</v>
      </c>
      <c r="D1336" s="4" t="s">
        <v>11</v>
      </c>
      <c r="E1336" s="5">
        <v>0</v>
      </c>
      <c r="F1336" s="5">
        <v>0</v>
      </c>
      <c r="G1336" s="5">
        <v>0</v>
      </c>
      <c r="H1336" s="4" t="s">
        <v>11</v>
      </c>
      <c r="I1336" s="5">
        <v>0</v>
      </c>
      <c r="J1336" s="4">
        <v>45916.294212962966</v>
      </c>
    </row>
    <row r="1337" spans="1:10" x14ac:dyDescent="0.2">
      <c r="A1337" s="2" t="s">
        <v>10</v>
      </c>
      <c r="B1337" s="3" t="str">
        <f t="shared" si="30"/>
        <v>France - HCP Survey Email - June 2025</v>
      </c>
      <c r="C1337" s="3" t="str">
        <f>HYPERLINK("https://otsuka-europe-crm.veevavault.com/ui/#object/sent_email__v/VBLZ025E82GNNZH", "SE-000272952")</f>
        <v>SE-000272952</v>
      </c>
      <c r="D1337" s="4" t="s">
        <v>11</v>
      </c>
      <c r="E1337" s="5">
        <v>0</v>
      </c>
      <c r="F1337" s="5">
        <v>0</v>
      </c>
      <c r="G1337" s="5">
        <v>0</v>
      </c>
      <c r="H1337" s="4" t="s">
        <v>11</v>
      </c>
      <c r="I1337" s="5">
        <v>0</v>
      </c>
      <c r="J1337" s="4">
        <v>45916.29482638889</v>
      </c>
    </row>
    <row r="1338" spans="1:10" x14ac:dyDescent="0.2">
      <c r="A1338" s="2" t="s">
        <v>10</v>
      </c>
      <c r="B1338" s="3" t="str">
        <f t="shared" si="30"/>
        <v>France - HCP Survey Email - June 2025</v>
      </c>
      <c r="C1338" s="3" t="str">
        <f>HYPERLINK("https://otsuka-europe-crm.veevavault.com/ui/#object/sent_email__v/VBLZ025E82GNNZI", "SE-000272953")</f>
        <v>SE-000272953</v>
      </c>
      <c r="D1338" s="4" t="s">
        <v>11</v>
      </c>
      <c r="E1338" s="5">
        <v>0</v>
      </c>
      <c r="F1338" s="5">
        <v>0</v>
      </c>
      <c r="G1338" s="5">
        <v>0</v>
      </c>
      <c r="H1338" s="4" t="s">
        <v>11</v>
      </c>
      <c r="I1338" s="5">
        <v>0</v>
      </c>
      <c r="J1338" s="4">
        <v>45916.29482638889</v>
      </c>
    </row>
    <row r="1339" spans="1:10" x14ac:dyDescent="0.2">
      <c r="A1339" s="2" t="s">
        <v>10</v>
      </c>
      <c r="B1339" s="3" t="str">
        <f t="shared" si="30"/>
        <v>France - HCP Survey Email - June 2025</v>
      </c>
      <c r="C1339" s="3" t="str">
        <f>HYPERLINK("https://otsuka-europe-crm.veevavault.com/ui/#object/sent_email__v/VBLZ025E82GNNZJ", "SE-000272954")</f>
        <v>SE-000272954</v>
      </c>
      <c r="D1339" s="4" t="s">
        <v>11</v>
      </c>
      <c r="E1339" s="5">
        <v>0</v>
      </c>
      <c r="F1339" s="5">
        <v>0</v>
      </c>
      <c r="G1339" s="5">
        <v>0</v>
      </c>
      <c r="H1339" s="4" t="s">
        <v>11</v>
      </c>
      <c r="I1339" s="5">
        <v>0</v>
      </c>
      <c r="J1339" s="4">
        <v>45916.294479166667</v>
      </c>
    </row>
    <row r="1340" spans="1:10" x14ac:dyDescent="0.2">
      <c r="A1340" s="2" t="s">
        <v>10</v>
      </c>
      <c r="B1340" s="3" t="str">
        <f t="shared" si="30"/>
        <v>France - HCP Survey Email - June 2025</v>
      </c>
      <c r="C1340" s="3" t="str">
        <f>HYPERLINK("https://otsuka-europe-crm.veevavault.com/ui/#object/sent_email__v/VBLZ025E82GNNZK", "SE-000272955")</f>
        <v>SE-000272955</v>
      </c>
      <c r="D1340" s="4">
        <v>45916.294282407405</v>
      </c>
      <c r="E1340" s="5">
        <v>1</v>
      </c>
      <c r="F1340" s="5">
        <v>1</v>
      </c>
      <c r="G1340" s="5">
        <v>0</v>
      </c>
      <c r="H1340" s="4" t="s">
        <v>11</v>
      </c>
      <c r="I1340" s="5">
        <v>0</v>
      </c>
      <c r="J1340" s="4">
        <v>45916.294236111113</v>
      </c>
    </row>
    <row r="1341" spans="1:10" x14ac:dyDescent="0.2">
      <c r="A1341" s="2" t="s">
        <v>10</v>
      </c>
      <c r="B1341" s="3" t="str">
        <f t="shared" si="30"/>
        <v>France - HCP Survey Email - June 2025</v>
      </c>
      <c r="C1341" s="3" t="str">
        <f>HYPERLINK("https://otsuka-europe-crm.veevavault.com/ui/#object/sent_email__v/VBLZ025E82GNNZL", "SE-000272956")</f>
        <v>SE-000272956</v>
      </c>
      <c r="D1341" s="4" t="s">
        <v>11</v>
      </c>
      <c r="E1341" s="5">
        <v>0</v>
      </c>
      <c r="F1341" s="5">
        <v>0</v>
      </c>
      <c r="G1341" s="5">
        <v>0</v>
      </c>
      <c r="H1341" s="4" t="s">
        <v>11</v>
      </c>
      <c r="I1341" s="5">
        <v>0</v>
      </c>
      <c r="J1341" s="4">
        <v>45916.294791666667</v>
      </c>
    </row>
    <row r="1342" spans="1:10" x14ac:dyDescent="0.2">
      <c r="A1342" s="2" t="s">
        <v>10</v>
      </c>
      <c r="B1342" s="3" t="str">
        <f t="shared" si="30"/>
        <v>France - HCP Survey Email - June 2025</v>
      </c>
      <c r="C1342" s="3" t="str">
        <f>HYPERLINK("https://otsuka-europe-crm.veevavault.com/ui/#object/sent_email__v/VBLZ025E82GNNZM", "SE-000272957")</f>
        <v>SE-000272957</v>
      </c>
      <c r="D1342" s="4">
        <v>46014.839641203704</v>
      </c>
      <c r="E1342" s="5">
        <v>1</v>
      </c>
      <c r="F1342" s="5">
        <v>5</v>
      </c>
      <c r="G1342" s="5">
        <v>0</v>
      </c>
      <c r="H1342" s="4" t="s">
        <v>11</v>
      </c>
      <c r="I1342" s="5">
        <v>0</v>
      </c>
      <c r="J1342" s="4">
        <v>45916.294687499998</v>
      </c>
    </row>
    <row r="1343" spans="1:10" x14ac:dyDescent="0.2">
      <c r="A1343" s="2" t="s">
        <v>10</v>
      </c>
      <c r="B1343" s="3" t="str">
        <f t="shared" si="30"/>
        <v>France - HCP Survey Email - June 2025</v>
      </c>
      <c r="C1343" s="3" t="str">
        <f>HYPERLINK("https://otsuka-europe-crm.veevavault.com/ui/#object/sent_email__v/VBLZ025E82GNNZN", "SE-000272958")</f>
        <v>SE-000272958</v>
      </c>
      <c r="D1343" s="4" t="s">
        <v>11</v>
      </c>
      <c r="E1343" s="5">
        <v>0</v>
      </c>
      <c r="F1343" s="5">
        <v>0</v>
      </c>
      <c r="G1343" s="5">
        <v>0</v>
      </c>
      <c r="H1343" s="4" t="s">
        <v>11</v>
      </c>
      <c r="I1343" s="5">
        <v>0</v>
      </c>
      <c r="J1343" s="4">
        <v>45916.294386574074</v>
      </c>
    </row>
    <row r="1344" spans="1:10" x14ac:dyDescent="0.2">
      <c r="A1344" s="2" t="s">
        <v>10</v>
      </c>
      <c r="B1344" s="3" t="str">
        <f t="shared" si="30"/>
        <v>France - HCP Survey Email - June 2025</v>
      </c>
      <c r="C1344" s="3" t="str">
        <f>HYPERLINK("https://otsuka-europe-crm.veevavault.com/ui/#object/sent_email__v/VBLZ025E82GNNZO", "SE-000272959")</f>
        <v>SE-000272959</v>
      </c>
      <c r="D1344" s="4" t="s">
        <v>11</v>
      </c>
      <c r="E1344" s="5">
        <v>0</v>
      </c>
      <c r="F1344" s="5">
        <v>0</v>
      </c>
      <c r="G1344" s="5">
        <v>0</v>
      </c>
      <c r="H1344" s="4" t="s">
        <v>11</v>
      </c>
      <c r="I1344" s="5">
        <v>0</v>
      </c>
      <c r="J1344" s="4">
        <v>45916.294293981482</v>
      </c>
    </row>
    <row r="1345" spans="1:10" x14ac:dyDescent="0.2">
      <c r="A1345" s="2" t="s">
        <v>10</v>
      </c>
      <c r="B1345" s="3" t="str">
        <f t="shared" ref="B1345:B1408" si="31">HYPERLINK("https://otsuka-europe-crm.veevavault.com/ui/#object/approved_document__v/V5OZ025E82TMV97", "France - HCP Survey Email - June 2025")</f>
        <v>France - HCP Survey Email - June 2025</v>
      </c>
      <c r="C1345" s="3" t="str">
        <f>HYPERLINK("https://otsuka-europe-crm.veevavault.com/ui/#object/sent_email__v/VBLZ025E82GNNZP", "SE-000272960")</f>
        <v>SE-000272960</v>
      </c>
      <c r="D1345" s="4" t="s">
        <v>11</v>
      </c>
      <c r="E1345" s="5">
        <v>0</v>
      </c>
      <c r="F1345" s="5">
        <v>0</v>
      </c>
      <c r="G1345" s="5">
        <v>0</v>
      </c>
      <c r="H1345" s="4" t="s">
        <v>11</v>
      </c>
      <c r="I1345" s="5">
        <v>0</v>
      </c>
      <c r="J1345" s="4">
        <v>45916.294675925928</v>
      </c>
    </row>
    <row r="1346" spans="1:10" x14ac:dyDescent="0.2">
      <c r="A1346" s="2" t="s">
        <v>10</v>
      </c>
      <c r="B1346" s="3" t="str">
        <f t="shared" si="31"/>
        <v>France - HCP Survey Email - June 2025</v>
      </c>
      <c r="C1346" s="3" t="str">
        <f>HYPERLINK("https://otsuka-europe-crm.veevavault.com/ui/#object/sent_email__v/VBLZ025E82GNNZQ", "SE-000272961")</f>
        <v>SE-000272961</v>
      </c>
      <c r="D1346" s="4" t="s">
        <v>11</v>
      </c>
      <c r="E1346" s="5">
        <v>0</v>
      </c>
      <c r="F1346" s="5">
        <v>0</v>
      </c>
      <c r="G1346" s="5">
        <v>0</v>
      </c>
      <c r="H1346" s="4" t="s">
        <v>11</v>
      </c>
      <c r="I1346" s="5">
        <v>0</v>
      </c>
      <c r="J1346" s="4">
        <v>45916.294490740744</v>
      </c>
    </row>
    <row r="1347" spans="1:10" x14ac:dyDescent="0.2">
      <c r="A1347" s="2" t="s">
        <v>10</v>
      </c>
      <c r="B1347" s="3" t="str">
        <f t="shared" si="31"/>
        <v>France - HCP Survey Email - June 2025</v>
      </c>
      <c r="C1347" s="3" t="str">
        <f>HYPERLINK("https://otsuka-europe-crm.veevavault.com/ui/#object/sent_email__v/VBLZ025E82GNNZR", "SE-000272962")</f>
        <v>SE-000272962</v>
      </c>
      <c r="D1347" s="4" t="s">
        <v>11</v>
      </c>
      <c r="E1347" s="5">
        <v>0</v>
      </c>
      <c r="F1347" s="5">
        <v>0</v>
      </c>
      <c r="G1347" s="5">
        <v>0</v>
      </c>
      <c r="H1347" s="4" t="s">
        <v>11</v>
      </c>
      <c r="I1347" s="5">
        <v>0</v>
      </c>
      <c r="J1347" s="4">
        <v>45916.294270833336</v>
      </c>
    </row>
    <row r="1348" spans="1:10" x14ac:dyDescent="0.2">
      <c r="A1348" s="2" t="s">
        <v>10</v>
      </c>
      <c r="B1348" s="3" t="str">
        <f t="shared" si="31"/>
        <v>France - HCP Survey Email - June 2025</v>
      </c>
      <c r="C1348" s="3" t="str">
        <f>HYPERLINK("https://otsuka-europe-crm.veevavault.com/ui/#object/sent_email__v/VBLZ025E82GNNZS", "SE-000272963")</f>
        <v>SE-000272963</v>
      </c>
      <c r="D1348" s="4">
        <v>45916.373773148145</v>
      </c>
      <c r="E1348" s="5">
        <v>1</v>
      </c>
      <c r="F1348" s="5">
        <v>1</v>
      </c>
      <c r="G1348" s="5">
        <v>0</v>
      </c>
      <c r="H1348" s="4" t="s">
        <v>11</v>
      </c>
      <c r="I1348" s="5">
        <v>0</v>
      </c>
      <c r="J1348" s="4">
        <v>45916.295092592591</v>
      </c>
    </row>
    <row r="1349" spans="1:10" x14ac:dyDescent="0.2">
      <c r="A1349" s="2" t="s">
        <v>10</v>
      </c>
      <c r="B1349" s="3" t="str">
        <f t="shared" si="31"/>
        <v>France - HCP Survey Email - June 2025</v>
      </c>
      <c r="C1349" s="3" t="str">
        <f>HYPERLINK("https://otsuka-europe-crm.veevavault.com/ui/#object/sent_email__v/VBLZ025E82GNNZT", "SE-000272964")</f>
        <v>SE-000272964</v>
      </c>
      <c r="D1349" s="4" t="s">
        <v>11</v>
      </c>
      <c r="E1349" s="5">
        <v>0</v>
      </c>
      <c r="F1349" s="5">
        <v>0</v>
      </c>
      <c r="G1349" s="5">
        <v>0</v>
      </c>
      <c r="H1349" s="4" t="s">
        <v>11</v>
      </c>
      <c r="I1349" s="5">
        <v>0</v>
      </c>
      <c r="J1349" s="4">
        <v>45916.294803240744</v>
      </c>
    </row>
    <row r="1350" spans="1:10" x14ac:dyDescent="0.2">
      <c r="A1350" s="2" t="s">
        <v>10</v>
      </c>
      <c r="B1350" s="3" t="str">
        <f t="shared" si="31"/>
        <v>France - HCP Survey Email - June 2025</v>
      </c>
      <c r="C1350" s="3" t="str">
        <f>HYPERLINK("https://otsuka-europe-crm.veevavault.com/ui/#object/sent_email__v/VBLZ025E82GNNZU", "SE-000272965")</f>
        <v>SE-000272965</v>
      </c>
      <c r="D1350" s="4">
        <v>45916.366226851853</v>
      </c>
      <c r="E1350" s="5">
        <v>1</v>
      </c>
      <c r="F1350" s="5">
        <v>2</v>
      </c>
      <c r="G1350" s="5">
        <v>1</v>
      </c>
      <c r="H1350" s="4">
        <v>45916.366319444445</v>
      </c>
      <c r="I1350" s="5">
        <v>1</v>
      </c>
      <c r="J1350" s="4">
        <v>45916.294398148151</v>
      </c>
    </row>
    <row r="1351" spans="1:10" x14ac:dyDescent="0.2">
      <c r="A1351" s="2" t="s">
        <v>10</v>
      </c>
      <c r="B1351" s="3" t="str">
        <f t="shared" si="31"/>
        <v>France - HCP Survey Email - June 2025</v>
      </c>
      <c r="C1351" s="3" t="str">
        <f>HYPERLINK("https://otsuka-europe-crm.veevavault.com/ui/#object/sent_email__v/VBLZ025E82GNNZV", "SE-000272966")</f>
        <v>SE-000272966</v>
      </c>
      <c r="D1351" s="4" t="s">
        <v>11</v>
      </c>
      <c r="E1351" s="5">
        <v>0</v>
      </c>
      <c r="F1351" s="5">
        <v>0</v>
      </c>
      <c r="G1351" s="5">
        <v>0</v>
      </c>
      <c r="H1351" s="4" t="s">
        <v>11</v>
      </c>
      <c r="I1351" s="5">
        <v>0</v>
      </c>
      <c r="J1351" s="4">
        <v>45916.29420138889</v>
      </c>
    </row>
    <row r="1352" spans="1:10" x14ac:dyDescent="0.2">
      <c r="A1352" s="2" t="s">
        <v>10</v>
      </c>
      <c r="B1352" s="3" t="str">
        <f t="shared" si="31"/>
        <v>France - HCP Survey Email - June 2025</v>
      </c>
      <c r="C1352" s="3" t="str">
        <f>HYPERLINK("https://otsuka-europe-crm.veevavault.com/ui/#object/sent_email__v/VBLZ025E82GNNZW", "SE-000272967")</f>
        <v>SE-000272967</v>
      </c>
      <c r="D1352" s="4" t="s">
        <v>11</v>
      </c>
      <c r="E1352" s="5">
        <v>0</v>
      </c>
      <c r="F1352" s="5">
        <v>0</v>
      </c>
      <c r="G1352" s="5">
        <v>0</v>
      </c>
      <c r="H1352" s="4" t="s">
        <v>11</v>
      </c>
      <c r="I1352" s="5">
        <v>0</v>
      </c>
      <c r="J1352" s="4">
        <v>45916.29483796296</v>
      </c>
    </row>
    <row r="1353" spans="1:10" x14ac:dyDescent="0.2">
      <c r="A1353" s="2" t="s">
        <v>10</v>
      </c>
      <c r="B1353" s="3" t="str">
        <f t="shared" si="31"/>
        <v>France - HCP Survey Email - June 2025</v>
      </c>
      <c r="C1353" s="3" t="str">
        <f>HYPERLINK("https://otsuka-europe-crm.veevavault.com/ui/#object/sent_email__v/VBLZ025E82GNNZX", "SE-000272968")</f>
        <v>SE-000272968</v>
      </c>
      <c r="D1353" s="4">
        <v>45916.696238425924</v>
      </c>
      <c r="E1353" s="5">
        <v>1</v>
      </c>
      <c r="F1353" s="5">
        <v>3</v>
      </c>
      <c r="G1353" s="5">
        <v>1</v>
      </c>
      <c r="H1353" s="4">
        <v>45916.303749999999</v>
      </c>
      <c r="I1353" s="5">
        <v>2</v>
      </c>
      <c r="J1353" s="4">
        <v>45916.294618055559</v>
      </c>
    </row>
    <row r="1354" spans="1:10" x14ac:dyDescent="0.2">
      <c r="A1354" s="2" t="s">
        <v>10</v>
      </c>
      <c r="B1354" s="3" t="str">
        <f t="shared" si="31"/>
        <v>France - HCP Survey Email - June 2025</v>
      </c>
      <c r="C1354" s="3" t="str">
        <f>HYPERLINK("https://otsuka-europe-crm.veevavault.com/ui/#object/sent_email__v/VBLZ025E82GNNZY", "SE-000272969")</f>
        <v>SE-000272969</v>
      </c>
      <c r="D1354" s="4" t="s">
        <v>11</v>
      </c>
      <c r="E1354" s="5">
        <v>0</v>
      </c>
      <c r="F1354" s="5">
        <v>0</v>
      </c>
      <c r="G1354" s="5">
        <v>0</v>
      </c>
      <c r="H1354" s="4" t="s">
        <v>11</v>
      </c>
      <c r="I1354" s="5">
        <v>0</v>
      </c>
      <c r="J1354" s="4">
        <v>45916.294374999998</v>
      </c>
    </row>
    <row r="1355" spans="1:10" x14ac:dyDescent="0.2">
      <c r="A1355" s="2" t="s">
        <v>10</v>
      </c>
      <c r="B1355" s="3" t="str">
        <f t="shared" si="31"/>
        <v>France - HCP Survey Email - June 2025</v>
      </c>
      <c r="C1355" s="3" t="str">
        <f>HYPERLINK("https://otsuka-europe-crm.veevavault.com/ui/#object/sent_email__v/VBLZ025E82GNNZZ", "SE-000272970")</f>
        <v>SE-000272970</v>
      </c>
      <c r="D1355" s="4">
        <v>45916.295231481483</v>
      </c>
      <c r="E1355" s="5">
        <v>1</v>
      </c>
      <c r="F1355" s="5">
        <v>1</v>
      </c>
      <c r="G1355" s="5">
        <v>0</v>
      </c>
      <c r="H1355" s="4" t="s">
        <v>11</v>
      </c>
      <c r="I1355" s="5">
        <v>0</v>
      </c>
      <c r="J1355" s="4">
        <v>45916.294953703706</v>
      </c>
    </row>
    <row r="1356" spans="1:10" x14ac:dyDescent="0.2">
      <c r="A1356" s="2" t="s">
        <v>10</v>
      </c>
      <c r="B1356" s="3" t="str">
        <f t="shared" si="31"/>
        <v>France - HCP Survey Email - June 2025</v>
      </c>
      <c r="C1356" s="3" t="str">
        <f>HYPERLINK("https://otsuka-europe-crm.veevavault.com/ui/#object/sent_email__v/VBLZ025E82GNO00", "SE-000272971")</f>
        <v>SE-000272971</v>
      </c>
      <c r="D1356" s="4" t="s">
        <v>11</v>
      </c>
      <c r="E1356" s="5">
        <v>0</v>
      </c>
      <c r="F1356" s="5">
        <v>0</v>
      </c>
      <c r="G1356" s="5">
        <v>0</v>
      </c>
      <c r="H1356" s="4" t="s">
        <v>11</v>
      </c>
      <c r="I1356" s="5">
        <v>0</v>
      </c>
      <c r="J1356" s="4">
        <v>45916.294768518521</v>
      </c>
    </row>
    <row r="1357" spans="1:10" x14ac:dyDescent="0.2">
      <c r="A1357" s="2" t="s">
        <v>10</v>
      </c>
      <c r="B1357" s="3" t="str">
        <f t="shared" si="31"/>
        <v>France - HCP Survey Email - June 2025</v>
      </c>
      <c r="C1357" s="3" t="str">
        <f>HYPERLINK("https://otsuka-europe-crm.veevavault.com/ui/#object/sent_email__v/VBLZ025E82GNO01", "SE-000272972")</f>
        <v>SE-000272972</v>
      </c>
      <c r="D1357" s="4" t="s">
        <v>11</v>
      </c>
      <c r="E1357" s="5">
        <v>0</v>
      </c>
      <c r="F1357" s="5">
        <v>0</v>
      </c>
      <c r="G1357" s="5">
        <v>0</v>
      </c>
      <c r="H1357" s="4" t="s">
        <v>11</v>
      </c>
      <c r="I1357" s="5">
        <v>0</v>
      </c>
      <c r="J1357" s="4">
        <v>45916.294548611113</v>
      </c>
    </row>
    <row r="1358" spans="1:10" x14ac:dyDescent="0.2">
      <c r="A1358" s="2" t="s">
        <v>10</v>
      </c>
      <c r="B1358" s="3" t="str">
        <f t="shared" si="31"/>
        <v>France - HCP Survey Email - June 2025</v>
      </c>
      <c r="C1358" s="3" t="str">
        <f>HYPERLINK("https://otsuka-europe-crm.veevavault.com/ui/#object/sent_email__v/VBLZ025E82GNO02", "SE-000272973")</f>
        <v>SE-000272973</v>
      </c>
      <c r="D1358" s="4" t="s">
        <v>11</v>
      </c>
      <c r="E1358" s="5">
        <v>0</v>
      </c>
      <c r="F1358" s="5">
        <v>0</v>
      </c>
      <c r="G1358" s="5">
        <v>0</v>
      </c>
      <c r="H1358" s="4" t="s">
        <v>11</v>
      </c>
      <c r="I1358" s="5">
        <v>0</v>
      </c>
      <c r="J1358" s="4">
        <v>45916.294282407405</v>
      </c>
    </row>
    <row r="1359" spans="1:10" x14ac:dyDescent="0.2">
      <c r="A1359" s="2" t="s">
        <v>10</v>
      </c>
      <c r="B1359" s="3" t="str">
        <f t="shared" si="31"/>
        <v>France - HCP Survey Email - June 2025</v>
      </c>
      <c r="C1359" s="3" t="str">
        <f>HYPERLINK("https://otsuka-europe-crm.veevavault.com/ui/#object/sent_email__v/VBLZ025E82GNO03", "SE-000272974")</f>
        <v>SE-000272974</v>
      </c>
      <c r="D1359" s="4">
        <v>45916.333935185183</v>
      </c>
      <c r="E1359" s="5">
        <v>1</v>
      </c>
      <c r="F1359" s="5">
        <v>1</v>
      </c>
      <c r="G1359" s="5">
        <v>0</v>
      </c>
      <c r="H1359" s="4" t="s">
        <v>11</v>
      </c>
      <c r="I1359" s="5">
        <v>0</v>
      </c>
      <c r="J1359" s="4">
        <v>45916.294965277775</v>
      </c>
    </row>
    <row r="1360" spans="1:10" x14ac:dyDescent="0.2">
      <c r="A1360" s="2" t="s">
        <v>10</v>
      </c>
      <c r="B1360" s="3" t="str">
        <f t="shared" si="31"/>
        <v>France - HCP Survey Email - June 2025</v>
      </c>
      <c r="C1360" s="3" t="str">
        <f>HYPERLINK("https://otsuka-europe-crm.veevavault.com/ui/#object/sent_email__v/VBLZ025E82GNO04", "SE-000272975")</f>
        <v>SE-000272975</v>
      </c>
      <c r="D1360" s="4" t="s">
        <v>11</v>
      </c>
      <c r="E1360" s="5">
        <v>0</v>
      </c>
      <c r="F1360" s="5">
        <v>0</v>
      </c>
      <c r="G1360" s="5">
        <v>0</v>
      </c>
      <c r="H1360" s="4" t="s">
        <v>11</v>
      </c>
      <c r="I1360" s="5">
        <v>0</v>
      </c>
      <c r="J1360" s="4">
        <v>45916.294803240744</v>
      </c>
    </row>
    <row r="1361" spans="1:10" x14ac:dyDescent="0.2">
      <c r="A1361" s="2" t="s">
        <v>10</v>
      </c>
      <c r="B1361" s="3" t="str">
        <f t="shared" si="31"/>
        <v>France - HCP Survey Email - June 2025</v>
      </c>
      <c r="C1361" s="3" t="str">
        <f>HYPERLINK("https://otsuka-europe-crm.veevavault.com/ui/#object/sent_email__v/VBLZ025E82GNO05", "SE-000272976")</f>
        <v>SE-000272976</v>
      </c>
      <c r="D1361" s="4" t="s">
        <v>11</v>
      </c>
      <c r="E1361" s="5">
        <v>0</v>
      </c>
      <c r="F1361" s="5">
        <v>0</v>
      </c>
      <c r="G1361" s="5">
        <v>0</v>
      </c>
      <c r="H1361" s="4" t="s">
        <v>11</v>
      </c>
      <c r="I1361" s="5">
        <v>0</v>
      </c>
      <c r="J1361" s="4">
        <v>45916.294421296298</v>
      </c>
    </row>
    <row r="1362" spans="1:10" x14ac:dyDescent="0.2">
      <c r="A1362" s="2" t="s">
        <v>10</v>
      </c>
      <c r="B1362" s="3" t="str">
        <f t="shared" si="31"/>
        <v>France - HCP Survey Email - June 2025</v>
      </c>
      <c r="C1362" s="3" t="str">
        <f>HYPERLINK("https://otsuka-europe-crm.veevavault.com/ui/#object/sent_email__v/VBLZ025E82GNO06", "SE-000272977")</f>
        <v>SE-000272977</v>
      </c>
      <c r="D1362" s="4" t="s">
        <v>11</v>
      </c>
      <c r="E1362" s="5">
        <v>0</v>
      </c>
      <c r="F1362" s="5">
        <v>0</v>
      </c>
      <c r="G1362" s="5">
        <v>0</v>
      </c>
      <c r="H1362" s="4" t="s">
        <v>11</v>
      </c>
      <c r="I1362" s="5">
        <v>0</v>
      </c>
      <c r="J1362" s="4">
        <v>45916.294212962966</v>
      </c>
    </row>
    <row r="1363" spans="1:10" x14ac:dyDescent="0.2">
      <c r="A1363" s="2" t="s">
        <v>10</v>
      </c>
      <c r="B1363" s="3" t="str">
        <f t="shared" si="31"/>
        <v>France - HCP Survey Email - June 2025</v>
      </c>
      <c r="C1363" s="3" t="str">
        <f>HYPERLINK("https://otsuka-europe-crm.veevavault.com/ui/#object/sent_email__v/VBLZ025E82GNO07", "SE-000272978")</f>
        <v>SE-000272978</v>
      </c>
      <c r="D1363" s="4" t="s">
        <v>11</v>
      </c>
      <c r="E1363" s="5">
        <v>0</v>
      </c>
      <c r="F1363" s="5">
        <v>0</v>
      </c>
      <c r="G1363" s="5">
        <v>0</v>
      </c>
      <c r="H1363" s="4" t="s">
        <v>11</v>
      </c>
      <c r="I1363" s="5">
        <v>0</v>
      </c>
      <c r="J1363" s="4">
        <v>45916.294861111113</v>
      </c>
    </row>
    <row r="1364" spans="1:10" x14ac:dyDescent="0.2">
      <c r="A1364" s="2" t="s">
        <v>10</v>
      </c>
      <c r="B1364" s="3" t="str">
        <f t="shared" si="31"/>
        <v>France - HCP Survey Email - June 2025</v>
      </c>
      <c r="C1364" s="3" t="str">
        <f>HYPERLINK("https://otsuka-europe-crm.veevavault.com/ui/#object/sent_email__v/VBLZ025E82GNO08", "SE-000272979")</f>
        <v>SE-000272979</v>
      </c>
      <c r="D1364" s="4" t="s">
        <v>11</v>
      </c>
      <c r="E1364" s="5">
        <v>0</v>
      </c>
      <c r="F1364" s="5">
        <v>0</v>
      </c>
      <c r="G1364" s="5">
        <v>0</v>
      </c>
      <c r="H1364" s="4" t="s">
        <v>11</v>
      </c>
      <c r="I1364" s="5">
        <v>0</v>
      </c>
      <c r="J1364" s="4">
        <v>45916.295023148145</v>
      </c>
    </row>
    <row r="1365" spans="1:10" x14ac:dyDescent="0.2">
      <c r="A1365" s="2" t="s">
        <v>10</v>
      </c>
      <c r="B1365" s="3" t="str">
        <f t="shared" si="31"/>
        <v>France - HCP Survey Email - June 2025</v>
      </c>
      <c r="C1365" s="3" t="str">
        <f>HYPERLINK("https://otsuka-europe-crm.veevavault.com/ui/#object/sent_email__v/VBLZ025E82GNO09", "SE-000272980")</f>
        <v>SE-000272980</v>
      </c>
      <c r="D1365" s="4" t="s">
        <v>11</v>
      </c>
      <c r="E1365" s="5">
        <v>0</v>
      </c>
      <c r="F1365" s="5">
        <v>0</v>
      </c>
      <c r="G1365" s="5">
        <v>0</v>
      </c>
      <c r="H1365" s="4" t="s">
        <v>11</v>
      </c>
      <c r="I1365" s="5">
        <v>0</v>
      </c>
      <c r="J1365" s="4">
        <v>45916.294618055559</v>
      </c>
    </row>
    <row r="1366" spans="1:10" x14ac:dyDescent="0.2">
      <c r="A1366" s="2" t="s">
        <v>10</v>
      </c>
      <c r="B1366" s="3" t="str">
        <f t="shared" si="31"/>
        <v>France - HCP Survey Email - June 2025</v>
      </c>
      <c r="C1366" s="3" t="str">
        <f>HYPERLINK("https://otsuka-europe-crm.veevavault.com/ui/#object/sent_email__v/VBLZ025E82GNO0A", "SE-000272981")</f>
        <v>SE-000272981</v>
      </c>
      <c r="D1366" s="4" t="s">
        <v>11</v>
      </c>
      <c r="E1366" s="5">
        <v>0</v>
      </c>
      <c r="F1366" s="5">
        <v>0</v>
      </c>
      <c r="G1366" s="5">
        <v>0</v>
      </c>
      <c r="H1366" s="4" t="s">
        <v>11</v>
      </c>
      <c r="I1366" s="5">
        <v>0</v>
      </c>
      <c r="J1366" s="4">
        <v>45916.294456018521</v>
      </c>
    </row>
    <row r="1367" spans="1:10" x14ac:dyDescent="0.2">
      <c r="A1367" s="2" t="s">
        <v>10</v>
      </c>
      <c r="B1367" s="3" t="str">
        <f t="shared" si="31"/>
        <v>France - HCP Survey Email - June 2025</v>
      </c>
      <c r="C1367" s="3" t="str">
        <f>HYPERLINK("https://otsuka-europe-crm.veevavault.com/ui/#object/sent_email__v/VBLZ025E82GNO0C", "SE-000272983")</f>
        <v>SE-000272983</v>
      </c>
      <c r="D1367" s="4" t="s">
        <v>11</v>
      </c>
      <c r="E1367" s="5">
        <v>0</v>
      </c>
      <c r="F1367" s="5">
        <v>0</v>
      </c>
      <c r="G1367" s="5">
        <v>0</v>
      </c>
      <c r="H1367" s="4" t="s">
        <v>11</v>
      </c>
      <c r="I1367" s="5">
        <v>0</v>
      </c>
      <c r="J1367" s="4">
        <v>45916.294930555552</v>
      </c>
    </row>
    <row r="1368" spans="1:10" x14ac:dyDescent="0.2">
      <c r="A1368" s="2" t="s">
        <v>10</v>
      </c>
      <c r="B1368" s="3" t="str">
        <f t="shared" si="31"/>
        <v>France - HCP Survey Email - June 2025</v>
      </c>
      <c r="C1368" s="3" t="str">
        <f>HYPERLINK("https://otsuka-europe-crm.veevavault.com/ui/#object/sent_email__v/VBLZ025E82GNO0D", "SE-000272984")</f>
        <v>SE-000272984</v>
      </c>
      <c r="D1368" s="4">
        <v>45916.746423611112</v>
      </c>
      <c r="E1368" s="5">
        <v>1</v>
      </c>
      <c r="F1368" s="5">
        <v>1</v>
      </c>
      <c r="G1368" s="5">
        <v>0</v>
      </c>
      <c r="H1368" s="4" t="s">
        <v>11</v>
      </c>
      <c r="I1368" s="5">
        <v>0</v>
      </c>
      <c r="J1368" s="4">
        <v>45916.294583333336</v>
      </c>
    </row>
    <row r="1369" spans="1:10" x14ac:dyDescent="0.2">
      <c r="A1369" s="2" t="s">
        <v>10</v>
      </c>
      <c r="B1369" s="3" t="str">
        <f t="shared" si="31"/>
        <v>France - HCP Survey Email - June 2025</v>
      </c>
      <c r="C1369" s="3" t="str">
        <f>HYPERLINK("https://otsuka-europe-crm.veevavault.com/ui/#object/sent_email__v/VBLZ025E82GNO0E", "SE-000272985")</f>
        <v>SE-000272985</v>
      </c>
      <c r="D1369" s="4" t="s">
        <v>11</v>
      </c>
      <c r="E1369" s="5">
        <v>0</v>
      </c>
      <c r="F1369" s="5">
        <v>0</v>
      </c>
      <c r="G1369" s="5">
        <v>0</v>
      </c>
      <c r="H1369" s="4" t="s">
        <v>11</v>
      </c>
      <c r="I1369" s="5">
        <v>0</v>
      </c>
      <c r="J1369" s="4">
        <v>45916.29446759259</v>
      </c>
    </row>
    <row r="1370" spans="1:10" x14ac:dyDescent="0.2">
      <c r="A1370" s="2" t="s">
        <v>10</v>
      </c>
      <c r="B1370" s="3" t="str">
        <f t="shared" si="31"/>
        <v>France - HCP Survey Email - June 2025</v>
      </c>
      <c r="C1370" s="3" t="str">
        <f>HYPERLINK("https://otsuka-europe-crm.veevavault.com/ui/#object/sent_email__v/VBLZ025E82GNO0F", "SE-000272986")</f>
        <v>SE-000272986</v>
      </c>
      <c r="D1370" s="4">
        <v>45916.295590277776</v>
      </c>
      <c r="E1370" s="5">
        <v>1</v>
      </c>
      <c r="F1370" s="5">
        <v>1</v>
      </c>
      <c r="G1370" s="5">
        <v>1</v>
      </c>
      <c r="H1370" s="4">
        <v>45916.295590277776</v>
      </c>
      <c r="I1370" s="5">
        <v>2</v>
      </c>
      <c r="J1370" s="4">
        <v>45916.295034722221</v>
      </c>
    </row>
    <row r="1371" spans="1:10" x14ac:dyDescent="0.2">
      <c r="A1371" s="2" t="s">
        <v>10</v>
      </c>
      <c r="B1371" s="3" t="str">
        <f t="shared" si="31"/>
        <v>France - HCP Survey Email - June 2025</v>
      </c>
      <c r="C1371" s="3" t="str">
        <f>HYPERLINK("https://otsuka-europe-crm.veevavault.com/ui/#object/sent_email__v/VBLZ025E82GNO0G", "SE-000272987")</f>
        <v>SE-000272987</v>
      </c>
      <c r="D1371" s="4" t="s">
        <v>11</v>
      </c>
      <c r="E1371" s="5">
        <v>0</v>
      </c>
      <c r="F1371" s="5">
        <v>0</v>
      </c>
      <c r="G1371" s="5">
        <v>0</v>
      </c>
      <c r="H1371" s="4" t="s">
        <v>11</v>
      </c>
      <c r="I1371" s="5">
        <v>0</v>
      </c>
      <c r="J1371" s="4">
        <v>45916.294756944444</v>
      </c>
    </row>
    <row r="1372" spans="1:10" x14ac:dyDescent="0.2">
      <c r="A1372" s="2" t="s">
        <v>10</v>
      </c>
      <c r="B1372" s="3" t="str">
        <f t="shared" si="31"/>
        <v>France - HCP Survey Email - June 2025</v>
      </c>
      <c r="C1372" s="3" t="str">
        <f>HYPERLINK("https://otsuka-europe-crm.veevavault.com/ui/#object/sent_email__v/VBLZ025E82GNO0H", "SE-000272988")</f>
        <v>SE-000272988</v>
      </c>
      <c r="D1372" s="4">
        <v>45916.295312499999</v>
      </c>
      <c r="E1372" s="5">
        <v>1</v>
      </c>
      <c r="F1372" s="5">
        <v>1</v>
      </c>
      <c r="G1372" s="5">
        <v>0</v>
      </c>
      <c r="H1372" s="4" t="s">
        <v>11</v>
      </c>
      <c r="I1372" s="5">
        <v>0</v>
      </c>
      <c r="J1372" s="4">
        <v>45916.294502314813</v>
      </c>
    </row>
    <row r="1373" spans="1:10" x14ac:dyDescent="0.2">
      <c r="A1373" s="2" t="s">
        <v>10</v>
      </c>
      <c r="B1373" s="3" t="str">
        <f t="shared" si="31"/>
        <v>France - HCP Survey Email - June 2025</v>
      </c>
      <c r="C1373" s="3" t="str">
        <f>HYPERLINK("https://otsuka-europe-crm.veevavault.com/ui/#object/sent_email__v/VBLZ025E82GNO0I", "SE-000272989")</f>
        <v>SE-000272989</v>
      </c>
      <c r="D1373" s="4">
        <v>45916.465057870373</v>
      </c>
      <c r="E1373" s="5">
        <v>1</v>
      </c>
      <c r="F1373" s="5">
        <v>1</v>
      </c>
      <c r="G1373" s="5">
        <v>0</v>
      </c>
      <c r="H1373" s="4" t="s">
        <v>11</v>
      </c>
      <c r="I1373" s="5">
        <v>0</v>
      </c>
      <c r="J1373" s="4">
        <v>45916.294363425928</v>
      </c>
    </row>
    <row r="1374" spans="1:10" x14ac:dyDescent="0.2">
      <c r="A1374" s="2" t="s">
        <v>10</v>
      </c>
      <c r="B1374" s="3" t="str">
        <f t="shared" si="31"/>
        <v>France - HCP Survey Email - June 2025</v>
      </c>
      <c r="C1374" s="3" t="str">
        <f>HYPERLINK("https://otsuka-europe-crm.veevavault.com/ui/#object/sent_email__v/VBLZ025E82GNO0J", "SE-000272990")</f>
        <v>SE-000272990</v>
      </c>
      <c r="D1374" s="4">
        <v>45917.899201388886</v>
      </c>
      <c r="E1374" s="5">
        <v>1</v>
      </c>
      <c r="F1374" s="5">
        <v>2</v>
      </c>
      <c r="G1374" s="5">
        <v>1</v>
      </c>
      <c r="H1374" s="4">
        <v>45917.899687500001</v>
      </c>
      <c r="I1374" s="5">
        <v>1</v>
      </c>
      <c r="J1374" s="4">
        <v>45916.294988425929</v>
      </c>
    </row>
    <row r="1375" spans="1:10" x14ac:dyDescent="0.2">
      <c r="A1375" s="2" t="s">
        <v>10</v>
      </c>
      <c r="B1375" s="3" t="str">
        <f t="shared" si="31"/>
        <v>France - HCP Survey Email - June 2025</v>
      </c>
      <c r="C1375" s="3" t="str">
        <f>HYPERLINK("https://otsuka-europe-crm.veevavault.com/ui/#object/sent_email__v/VBLZ025E82GNO0K", "SE-000272991")</f>
        <v>SE-000272991</v>
      </c>
      <c r="D1375" s="4" t="s">
        <v>11</v>
      </c>
      <c r="E1375" s="5">
        <v>0</v>
      </c>
      <c r="F1375" s="5">
        <v>0</v>
      </c>
      <c r="G1375" s="5">
        <v>0</v>
      </c>
      <c r="H1375" s="4" t="s">
        <v>11</v>
      </c>
      <c r="I1375" s="5">
        <v>0</v>
      </c>
      <c r="J1375" s="4">
        <v>45916.294664351852</v>
      </c>
    </row>
    <row r="1376" spans="1:10" x14ac:dyDescent="0.2">
      <c r="A1376" s="2" t="s">
        <v>10</v>
      </c>
      <c r="B1376" s="3" t="str">
        <f t="shared" si="31"/>
        <v>France - HCP Survey Email - June 2025</v>
      </c>
      <c r="C1376" s="3" t="str">
        <f>HYPERLINK("https://otsuka-europe-crm.veevavault.com/ui/#object/sent_email__v/VBLZ025E82GNO0M", "SE-000272993")</f>
        <v>SE-000272993</v>
      </c>
      <c r="D1376" s="4" t="s">
        <v>11</v>
      </c>
      <c r="E1376" s="5">
        <v>0</v>
      </c>
      <c r="F1376" s="5">
        <v>0</v>
      </c>
      <c r="G1376" s="5">
        <v>0</v>
      </c>
      <c r="H1376" s="4" t="s">
        <v>11</v>
      </c>
      <c r="I1376" s="5">
        <v>0</v>
      </c>
      <c r="J1376" s="4">
        <v>45916.294247685182</v>
      </c>
    </row>
    <row r="1377" spans="1:10" x14ac:dyDescent="0.2">
      <c r="A1377" s="2" t="s">
        <v>10</v>
      </c>
      <c r="B1377" s="3" t="str">
        <f t="shared" si="31"/>
        <v>France - HCP Survey Email - June 2025</v>
      </c>
      <c r="C1377" s="3" t="str">
        <f>HYPERLINK("https://otsuka-europe-crm.veevavault.com/ui/#object/sent_email__v/VBLZ025E82GNO0N", "SE-000272994")</f>
        <v>SE-000272994</v>
      </c>
      <c r="D1377" s="4" t="s">
        <v>11</v>
      </c>
      <c r="E1377" s="5">
        <v>0</v>
      </c>
      <c r="F1377" s="5">
        <v>0</v>
      </c>
      <c r="G1377" s="5">
        <v>0</v>
      </c>
      <c r="H1377" s="4" t="s">
        <v>11</v>
      </c>
      <c r="I1377" s="5">
        <v>0</v>
      </c>
      <c r="J1377" s="4">
        <v>45916.294849537036</v>
      </c>
    </row>
    <row r="1378" spans="1:10" x14ac:dyDescent="0.2">
      <c r="A1378" s="2" t="s">
        <v>10</v>
      </c>
      <c r="B1378" s="3" t="str">
        <f t="shared" si="31"/>
        <v>France - HCP Survey Email - June 2025</v>
      </c>
      <c r="C1378" s="3" t="str">
        <f>HYPERLINK("https://otsuka-europe-crm.veevavault.com/ui/#object/sent_email__v/VBLZ025E82GNO0O", "SE-000272995")</f>
        <v>SE-000272995</v>
      </c>
      <c r="D1378" s="4" t="s">
        <v>11</v>
      </c>
      <c r="E1378" s="5">
        <v>0</v>
      </c>
      <c r="F1378" s="5">
        <v>0</v>
      </c>
      <c r="G1378" s="5">
        <v>0</v>
      </c>
      <c r="H1378" s="4" t="s">
        <v>11</v>
      </c>
      <c r="I1378" s="5">
        <v>0</v>
      </c>
      <c r="J1378" s="4">
        <v>45916.294641203705</v>
      </c>
    </row>
    <row r="1379" spans="1:10" x14ac:dyDescent="0.2">
      <c r="A1379" s="2" t="s">
        <v>10</v>
      </c>
      <c r="B1379" s="3" t="str">
        <f t="shared" si="31"/>
        <v>France - HCP Survey Email - June 2025</v>
      </c>
      <c r="C1379" s="3" t="str">
        <f>HYPERLINK("https://otsuka-europe-crm.veevavault.com/ui/#object/sent_email__v/VBLZ025E82GNO0P", "SE-000272996")</f>
        <v>SE-000272996</v>
      </c>
      <c r="D1379" s="4" t="s">
        <v>11</v>
      </c>
      <c r="E1379" s="5">
        <v>0</v>
      </c>
      <c r="F1379" s="5">
        <v>0</v>
      </c>
      <c r="G1379" s="5">
        <v>0</v>
      </c>
      <c r="H1379" s="4" t="s">
        <v>11</v>
      </c>
      <c r="I1379" s="5">
        <v>0</v>
      </c>
      <c r="J1379" s="4">
        <v>45916.294259259259</v>
      </c>
    </row>
    <row r="1380" spans="1:10" x14ac:dyDescent="0.2">
      <c r="A1380" s="2" t="s">
        <v>10</v>
      </c>
      <c r="B1380" s="3" t="str">
        <f t="shared" si="31"/>
        <v>France - HCP Survey Email - June 2025</v>
      </c>
      <c r="C1380" s="3" t="str">
        <f>HYPERLINK("https://otsuka-europe-crm.veevavault.com/ui/#object/sent_email__v/VBLZ025E82GNO0Q", "SE-000272997")</f>
        <v>SE-000272997</v>
      </c>
      <c r="D1380" s="4">
        <v>45916.324305555558</v>
      </c>
      <c r="E1380" s="5">
        <v>1</v>
      </c>
      <c r="F1380" s="5">
        <v>2</v>
      </c>
      <c r="G1380" s="5">
        <v>0</v>
      </c>
      <c r="H1380" s="4" t="s">
        <v>11</v>
      </c>
      <c r="I1380" s="5">
        <v>0</v>
      </c>
      <c r="J1380" s="4">
        <v>45916.294953703706</v>
      </c>
    </row>
    <row r="1381" spans="1:10" x14ac:dyDescent="0.2">
      <c r="A1381" s="2" t="s">
        <v>10</v>
      </c>
      <c r="B1381" s="3" t="str">
        <f t="shared" si="31"/>
        <v>France - HCP Survey Email - June 2025</v>
      </c>
      <c r="C1381" s="3" t="str">
        <f>HYPERLINK("https://otsuka-europe-crm.veevavault.com/ui/#object/sent_email__v/VBLZ025E82GNO0R", "SE-000272998")</f>
        <v>SE-000272998</v>
      </c>
      <c r="D1381" s="4" t="s">
        <v>11</v>
      </c>
      <c r="E1381" s="5">
        <v>0</v>
      </c>
      <c r="F1381" s="5">
        <v>0</v>
      </c>
      <c r="G1381" s="5">
        <v>0</v>
      </c>
      <c r="H1381" s="4" t="s">
        <v>11</v>
      </c>
      <c r="I1381" s="5">
        <v>0</v>
      </c>
      <c r="J1381" s="4">
        <v>45916.294745370367</v>
      </c>
    </row>
    <row r="1382" spans="1:10" x14ac:dyDescent="0.2">
      <c r="A1382" s="2" t="s">
        <v>10</v>
      </c>
      <c r="B1382" s="3" t="str">
        <f t="shared" si="31"/>
        <v>France - HCP Survey Email - June 2025</v>
      </c>
      <c r="C1382" s="3" t="str">
        <f>HYPERLINK("https://otsuka-europe-crm.veevavault.com/ui/#object/sent_email__v/VBLZ025E82GNO0S", "SE-000272999")</f>
        <v>SE-000272999</v>
      </c>
      <c r="D1382" s="4">
        <v>45922.869131944448</v>
      </c>
      <c r="E1382" s="5">
        <v>1</v>
      </c>
      <c r="F1382" s="5">
        <v>2</v>
      </c>
      <c r="G1382" s="5">
        <v>0</v>
      </c>
      <c r="H1382" s="4" t="s">
        <v>11</v>
      </c>
      <c r="I1382" s="5">
        <v>0</v>
      </c>
      <c r="J1382" s="4">
        <v>45916.294594907406</v>
      </c>
    </row>
    <row r="1383" spans="1:10" x14ac:dyDescent="0.2">
      <c r="A1383" s="2" t="s">
        <v>10</v>
      </c>
      <c r="B1383" s="3" t="str">
        <f t="shared" si="31"/>
        <v>France - HCP Survey Email - June 2025</v>
      </c>
      <c r="C1383" s="3" t="str">
        <f>HYPERLINK("https://otsuka-europe-crm.veevavault.com/ui/#object/sent_email__v/VBLZ025E82GNO0T", "SE-000273000")</f>
        <v>SE-000273000</v>
      </c>
      <c r="D1383" s="4" t="s">
        <v>11</v>
      </c>
      <c r="E1383" s="5">
        <v>0</v>
      </c>
      <c r="F1383" s="5">
        <v>0</v>
      </c>
      <c r="G1383" s="5">
        <v>0</v>
      </c>
      <c r="H1383" s="4" t="s">
        <v>11</v>
      </c>
      <c r="I1383" s="5">
        <v>0</v>
      </c>
      <c r="J1383" s="4">
        <v>45916.294282407405</v>
      </c>
    </row>
    <row r="1384" spans="1:10" x14ac:dyDescent="0.2">
      <c r="A1384" s="2" t="s">
        <v>10</v>
      </c>
      <c r="B1384" s="3" t="str">
        <f t="shared" si="31"/>
        <v>France - HCP Survey Email - June 2025</v>
      </c>
      <c r="C1384" s="3" t="str">
        <f>HYPERLINK("https://otsuka-europe-crm.veevavault.com/ui/#object/sent_email__v/VBLZ025E82GNO0U", "SE-000273001")</f>
        <v>SE-000273001</v>
      </c>
      <c r="D1384" s="4" t="s">
        <v>11</v>
      </c>
      <c r="E1384" s="5">
        <v>0</v>
      </c>
      <c r="F1384" s="5">
        <v>0</v>
      </c>
      <c r="G1384" s="5">
        <v>0</v>
      </c>
      <c r="H1384" s="4" t="s">
        <v>11</v>
      </c>
      <c r="I1384" s="5">
        <v>0</v>
      </c>
      <c r="J1384" s="4">
        <v>45916.294918981483</v>
      </c>
    </row>
    <row r="1385" spans="1:10" x14ac:dyDescent="0.2">
      <c r="A1385" s="2" t="s">
        <v>10</v>
      </c>
      <c r="B1385" s="3" t="str">
        <f t="shared" si="31"/>
        <v>France - HCP Survey Email - June 2025</v>
      </c>
      <c r="C1385" s="3" t="str">
        <f>HYPERLINK("https://otsuka-europe-crm.veevavault.com/ui/#object/sent_email__v/VBLZ025E82GNO0V", "SE-000273002")</f>
        <v>SE-000273002</v>
      </c>
      <c r="D1385" s="4" t="s">
        <v>11</v>
      </c>
      <c r="E1385" s="5">
        <v>0</v>
      </c>
      <c r="F1385" s="5">
        <v>0</v>
      </c>
      <c r="G1385" s="5">
        <v>0</v>
      </c>
      <c r="H1385" s="4" t="s">
        <v>11</v>
      </c>
      <c r="I1385" s="5">
        <v>0</v>
      </c>
      <c r="J1385" s="4">
        <v>45916.294618055559</v>
      </c>
    </row>
    <row r="1386" spans="1:10" x14ac:dyDescent="0.2">
      <c r="A1386" s="2" t="s">
        <v>10</v>
      </c>
      <c r="B1386" s="3" t="str">
        <f t="shared" si="31"/>
        <v>France - HCP Survey Email - June 2025</v>
      </c>
      <c r="C1386" s="3" t="str">
        <f>HYPERLINK("https://otsuka-europe-crm.veevavault.com/ui/#object/sent_email__v/VBLZ025E82GNO0W", "SE-000273003")</f>
        <v>SE-000273003</v>
      </c>
      <c r="D1386" s="4">
        <v>45916.29488425926</v>
      </c>
      <c r="E1386" s="5">
        <v>1</v>
      </c>
      <c r="F1386" s="5">
        <v>2</v>
      </c>
      <c r="G1386" s="5">
        <v>1</v>
      </c>
      <c r="H1386" s="4">
        <v>45916.29488425926</v>
      </c>
      <c r="I1386" s="5">
        <v>2</v>
      </c>
      <c r="J1386" s="4">
        <v>45916.294374999998</v>
      </c>
    </row>
    <row r="1387" spans="1:10" x14ac:dyDescent="0.2">
      <c r="A1387" s="2" t="s">
        <v>10</v>
      </c>
      <c r="B1387" s="3" t="str">
        <f t="shared" si="31"/>
        <v>France - HCP Survey Email - June 2025</v>
      </c>
      <c r="C1387" s="3" t="str">
        <f>HYPERLINK("https://otsuka-europe-crm.veevavault.com/ui/#object/sent_email__v/VBLZ025E82GNO0X", "SE-000273004")</f>
        <v>SE-000273004</v>
      </c>
      <c r="D1387" s="4" t="s">
        <v>11</v>
      </c>
      <c r="E1387" s="5">
        <v>0</v>
      </c>
      <c r="F1387" s="5">
        <v>0</v>
      </c>
      <c r="G1387" s="5">
        <v>0</v>
      </c>
      <c r="H1387" s="4" t="s">
        <v>11</v>
      </c>
      <c r="I1387" s="5">
        <v>0</v>
      </c>
      <c r="J1387" s="4">
        <v>45916.29420138889</v>
      </c>
    </row>
    <row r="1388" spans="1:10" x14ac:dyDescent="0.2">
      <c r="A1388" s="2" t="s">
        <v>10</v>
      </c>
      <c r="B1388" s="3" t="str">
        <f t="shared" si="31"/>
        <v>France - HCP Survey Email - June 2025</v>
      </c>
      <c r="C1388" s="3" t="str">
        <f>HYPERLINK("https://otsuka-europe-crm.veevavault.com/ui/#object/sent_email__v/VBLZ025E82GNO0Y", "SE-000273005")</f>
        <v>SE-000273005</v>
      </c>
      <c r="D1388" s="4" t="s">
        <v>11</v>
      </c>
      <c r="E1388" s="5">
        <v>0</v>
      </c>
      <c r="F1388" s="5">
        <v>0</v>
      </c>
      <c r="G1388" s="5">
        <v>0</v>
      </c>
      <c r="H1388" s="4" t="s">
        <v>11</v>
      </c>
      <c r="I1388" s="5">
        <v>0</v>
      </c>
      <c r="J1388" s="4">
        <v>45916.294849537036</v>
      </c>
    </row>
    <row r="1389" spans="1:10" x14ac:dyDescent="0.2">
      <c r="A1389" s="2" t="s">
        <v>10</v>
      </c>
      <c r="B1389" s="3" t="str">
        <f t="shared" si="31"/>
        <v>France - HCP Survey Email - June 2025</v>
      </c>
      <c r="C1389" s="3" t="str">
        <f>HYPERLINK("https://otsuka-europe-crm.veevavault.com/ui/#object/sent_email__v/VBLZ025E82GNO0Z", "SE-000273006")</f>
        <v>SE-000273006</v>
      </c>
      <c r="D1389" s="4" t="s">
        <v>11</v>
      </c>
      <c r="E1389" s="5">
        <v>0</v>
      </c>
      <c r="F1389" s="5">
        <v>0</v>
      </c>
      <c r="G1389" s="5">
        <v>0</v>
      </c>
      <c r="H1389" s="4" t="s">
        <v>11</v>
      </c>
      <c r="I1389" s="5">
        <v>0</v>
      </c>
      <c r="J1389" s="4">
        <v>45916.29478009259</v>
      </c>
    </row>
    <row r="1390" spans="1:10" x14ac:dyDescent="0.2">
      <c r="A1390" s="2" t="s">
        <v>10</v>
      </c>
      <c r="B1390" s="3" t="str">
        <f t="shared" si="31"/>
        <v>France - HCP Survey Email - June 2025</v>
      </c>
      <c r="C1390" s="3" t="str">
        <f>HYPERLINK("https://otsuka-europe-crm.veevavault.com/ui/#object/sent_email__v/VBLZ025E82GNO10", "SE-000273007")</f>
        <v>SE-000273007</v>
      </c>
      <c r="D1390" s="4" t="s">
        <v>11</v>
      </c>
      <c r="E1390" s="5">
        <v>0</v>
      </c>
      <c r="F1390" s="5">
        <v>0</v>
      </c>
      <c r="G1390" s="5">
        <v>0</v>
      </c>
      <c r="H1390" s="4" t="s">
        <v>11</v>
      </c>
      <c r="I1390" s="5">
        <v>0</v>
      </c>
      <c r="J1390" s="4">
        <v>45916.294374999998</v>
      </c>
    </row>
    <row r="1391" spans="1:10" x14ac:dyDescent="0.2">
      <c r="A1391" s="2" t="s">
        <v>10</v>
      </c>
      <c r="B1391" s="3" t="str">
        <f t="shared" si="31"/>
        <v>France - HCP Survey Email - June 2025</v>
      </c>
      <c r="C1391" s="3" t="str">
        <f>HYPERLINK("https://otsuka-europe-crm.veevavault.com/ui/#object/sent_email__v/VBLZ025E82GNO11", "SE-000273008")</f>
        <v>SE-000273008</v>
      </c>
      <c r="D1391" s="4" t="s">
        <v>11</v>
      </c>
      <c r="E1391" s="5">
        <v>0</v>
      </c>
      <c r="F1391" s="5">
        <v>0</v>
      </c>
      <c r="G1391" s="5">
        <v>0</v>
      </c>
      <c r="H1391" s="4" t="s">
        <v>11</v>
      </c>
      <c r="I1391" s="5">
        <v>0</v>
      </c>
      <c r="J1391" s="4">
        <v>45916.294942129629</v>
      </c>
    </row>
    <row r="1392" spans="1:10" x14ac:dyDescent="0.2">
      <c r="A1392" s="2" t="s">
        <v>10</v>
      </c>
      <c r="B1392" s="3" t="str">
        <f t="shared" si="31"/>
        <v>France - HCP Survey Email - June 2025</v>
      </c>
      <c r="C1392" s="3" t="str">
        <f>HYPERLINK("https://otsuka-europe-crm.veevavault.com/ui/#object/sent_email__v/VBLZ025E82GNO12", "SE-000273009")</f>
        <v>SE-000273009</v>
      </c>
      <c r="D1392" s="4" t="s">
        <v>11</v>
      </c>
      <c r="E1392" s="5">
        <v>0</v>
      </c>
      <c r="F1392" s="5">
        <v>0</v>
      </c>
      <c r="G1392" s="5">
        <v>0</v>
      </c>
      <c r="H1392" s="4" t="s">
        <v>11</v>
      </c>
      <c r="I1392" s="5">
        <v>0</v>
      </c>
      <c r="J1392" s="4">
        <v>45916.294652777775</v>
      </c>
    </row>
    <row r="1393" spans="1:10" x14ac:dyDescent="0.2">
      <c r="A1393" s="2" t="s">
        <v>10</v>
      </c>
      <c r="B1393" s="3" t="str">
        <f t="shared" si="31"/>
        <v>France - HCP Survey Email - June 2025</v>
      </c>
      <c r="C1393" s="3" t="str">
        <f>HYPERLINK("https://otsuka-europe-crm.veevavault.com/ui/#object/sent_email__v/VBLZ025E82GNO13", "SE-000273010")</f>
        <v>SE-000273010</v>
      </c>
      <c r="D1393" s="4" t="s">
        <v>11</v>
      </c>
      <c r="E1393" s="5">
        <v>0</v>
      </c>
      <c r="F1393" s="5">
        <v>0</v>
      </c>
      <c r="G1393" s="5">
        <v>0</v>
      </c>
      <c r="H1393" s="4" t="s">
        <v>11</v>
      </c>
      <c r="I1393" s="5">
        <v>0</v>
      </c>
      <c r="J1393" s="4">
        <v>45916.294421296298</v>
      </c>
    </row>
    <row r="1394" spans="1:10" x14ac:dyDescent="0.2">
      <c r="A1394" s="2" t="s">
        <v>10</v>
      </c>
      <c r="B1394" s="3" t="str">
        <f t="shared" si="31"/>
        <v>France - HCP Survey Email - June 2025</v>
      </c>
      <c r="C1394" s="3" t="str">
        <f>HYPERLINK("https://otsuka-europe-crm.veevavault.com/ui/#object/sent_email__v/VBLZ025E82GNO14", "SE-000273011")</f>
        <v>SE-000273011</v>
      </c>
      <c r="D1394" s="4" t="s">
        <v>11</v>
      </c>
      <c r="E1394" s="5">
        <v>0</v>
      </c>
      <c r="F1394" s="5">
        <v>0</v>
      </c>
      <c r="G1394" s="5">
        <v>0</v>
      </c>
      <c r="H1394" s="4" t="s">
        <v>11</v>
      </c>
      <c r="I1394" s="5">
        <v>0</v>
      </c>
      <c r="J1394" s="4">
        <v>45916.294398148151</v>
      </c>
    </row>
    <row r="1395" spans="1:10" x14ac:dyDescent="0.2">
      <c r="A1395" s="2" t="s">
        <v>10</v>
      </c>
      <c r="B1395" s="3" t="str">
        <f t="shared" si="31"/>
        <v>France - HCP Survey Email - June 2025</v>
      </c>
      <c r="C1395" s="3" t="str">
        <f>HYPERLINK("https://otsuka-europe-crm.veevavault.com/ui/#object/sent_email__v/VBLZ025E82GNO15", "SE-000273012")</f>
        <v>SE-000273012</v>
      </c>
      <c r="D1395" s="4" t="s">
        <v>11</v>
      </c>
      <c r="E1395" s="5">
        <v>0</v>
      </c>
      <c r="F1395" s="5">
        <v>0</v>
      </c>
      <c r="G1395" s="5">
        <v>0</v>
      </c>
      <c r="H1395" s="4" t="s">
        <v>11</v>
      </c>
      <c r="I1395" s="5">
        <v>0</v>
      </c>
      <c r="J1395" s="4">
        <v>45916.294953703706</v>
      </c>
    </row>
    <row r="1396" spans="1:10" x14ac:dyDescent="0.2">
      <c r="A1396" s="2" t="s">
        <v>10</v>
      </c>
      <c r="B1396" s="3" t="str">
        <f t="shared" si="31"/>
        <v>France - HCP Survey Email - June 2025</v>
      </c>
      <c r="C1396" s="3" t="str">
        <f>HYPERLINK("https://otsuka-europe-crm.veevavault.com/ui/#object/sent_email__v/VBLZ025E82GNO16", "SE-000273013")</f>
        <v>SE-000273013</v>
      </c>
      <c r="D1396" s="4" t="s">
        <v>11</v>
      </c>
      <c r="E1396" s="5">
        <v>0</v>
      </c>
      <c r="F1396" s="5">
        <v>0</v>
      </c>
      <c r="G1396" s="5">
        <v>0</v>
      </c>
      <c r="H1396" s="4" t="s">
        <v>11</v>
      </c>
      <c r="I1396" s="5">
        <v>0</v>
      </c>
      <c r="J1396" s="4">
        <v>45916.294664351852</v>
      </c>
    </row>
    <row r="1397" spans="1:10" x14ac:dyDescent="0.2">
      <c r="A1397" s="2" t="s">
        <v>10</v>
      </c>
      <c r="B1397" s="3" t="str">
        <f t="shared" si="31"/>
        <v>France - HCP Survey Email - June 2025</v>
      </c>
      <c r="C1397" s="3" t="str">
        <f>HYPERLINK("https://otsuka-europe-crm.veevavault.com/ui/#object/sent_email__v/VBLZ025E82GNO17", "SE-000273014")</f>
        <v>SE-000273014</v>
      </c>
      <c r="D1397" s="4">
        <v>45916.299259259256</v>
      </c>
      <c r="E1397" s="5">
        <v>1</v>
      </c>
      <c r="F1397" s="5">
        <v>4</v>
      </c>
      <c r="G1397" s="5">
        <v>0</v>
      </c>
      <c r="H1397" s="4" t="s">
        <v>11</v>
      </c>
      <c r="I1397" s="5">
        <v>0</v>
      </c>
      <c r="J1397" s="4">
        <v>45916.294409722221</v>
      </c>
    </row>
    <row r="1398" spans="1:10" x14ac:dyDescent="0.2">
      <c r="A1398" s="2" t="s">
        <v>10</v>
      </c>
      <c r="B1398" s="3" t="str">
        <f t="shared" si="31"/>
        <v>France - HCP Survey Email - June 2025</v>
      </c>
      <c r="C1398" s="3" t="str">
        <f>HYPERLINK("https://otsuka-europe-crm.veevavault.com/ui/#object/sent_email__v/VBLZ025E82GNO18", "SE-000273015")</f>
        <v>SE-000273015</v>
      </c>
      <c r="D1398" s="4">
        <v>45916.358553240738</v>
      </c>
      <c r="E1398" s="5">
        <v>1</v>
      </c>
      <c r="F1398" s="5">
        <v>1</v>
      </c>
      <c r="G1398" s="5">
        <v>0</v>
      </c>
      <c r="H1398" s="4" t="s">
        <v>11</v>
      </c>
      <c r="I1398" s="5">
        <v>0</v>
      </c>
      <c r="J1398" s="4">
        <v>45916.294328703705</v>
      </c>
    </row>
    <row r="1399" spans="1:10" x14ac:dyDescent="0.2">
      <c r="A1399" s="2" t="s">
        <v>10</v>
      </c>
      <c r="B1399" s="3" t="str">
        <f t="shared" si="31"/>
        <v>France - HCP Survey Email - June 2025</v>
      </c>
      <c r="C1399" s="3" t="str">
        <f>HYPERLINK("https://otsuka-europe-crm.veevavault.com/ui/#object/sent_email__v/VBLZ025E82GNO19", "SE-000273016")</f>
        <v>SE-000273016</v>
      </c>
      <c r="D1399" s="4" t="s">
        <v>11</v>
      </c>
      <c r="E1399" s="5">
        <v>0</v>
      </c>
      <c r="F1399" s="5">
        <v>0</v>
      </c>
      <c r="G1399" s="5">
        <v>0</v>
      </c>
      <c r="H1399" s="4" t="s">
        <v>11</v>
      </c>
      <c r="I1399" s="5">
        <v>0</v>
      </c>
      <c r="J1399" s="4">
        <v>45916.295023148145</v>
      </c>
    </row>
    <row r="1400" spans="1:10" x14ac:dyDescent="0.2">
      <c r="A1400" s="2" t="s">
        <v>10</v>
      </c>
      <c r="B1400" s="3" t="str">
        <f t="shared" si="31"/>
        <v>France - HCP Survey Email - June 2025</v>
      </c>
      <c r="C1400" s="3" t="str">
        <f>HYPERLINK("https://otsuka-europe-crm.veevavault.com/ui/#object/sent_email__v/VBLZ025E82GNO1C", "SE-000273019")</f>
        <v>SE-000273019</v>
      </c>
      <c r="D1400" s="4" t="s">
        <v>11</v>
      </c>
      <c r="E1400" s="5">
        <v>0</v>
      </c>
      <c r="F1400" s="5">
        <v>0</v>
      </c>
      <c r="G1400" s="5">
        <v>0</v>
      </c>
      <c r="H1400" s="4" t="s">
        <v>11</v>
      </c>
      <c r="I1400" s="5">
        <v>0</v>
      </c>
      <c r="J1400" s="4">
        <v>45916.29420138889</v>
      </c>
    </row>
    <row r="1401" spans="1:10" x14ac:dyDescent="0.2">
      <c r="A1401" s="2" t="s">
        <v>10</v>
      </c>
      <c r="B1401" s="3" t="str">
        <f t="shared" si="31"/>
        <v>France - HCP Survey Email - June 2025</v>
      </c>
      <c r="C1401" s="3" t="str">
        <f>HYPERLINK("https://otsuka-europe-crm.veevavault.com/ui/#object/sent_email__v/VBLZ025E82GNO1D", "SE-000273020")</f>
        <v>SE-000273020</v>
      </c>
      <c r="D1401" s="4" t="s">
        <v>11</v>
      </c>
      <c r="E1401" s="5">
        <v>0</v>
      </c>
      <c r="F1401" s="5">
        <v>0</v>
      </c>
      <c r="G1401" s="5">
        <v>0</v>
      </c>
      <c r="H1401" s="4" t="s">
        <v>11</v>
      </c>
      <c r="I1401" s="5">
        <v>0</v>
      </c>
      <c r="J1401" s="4">
        <v>45916.298391203702</v>
      </c>
    </row>
    <row r="1402" spans="1:10" x14ac:dyDescent="0.2">
      <c r="A1402" s="2" t="s">
        <v>10</v>
      </c>
      <c r="B1402" s="3" t="str">
        <f t="shared" si="31"/>
        <v>France - HCP Survey Email - June 2025</v>
      </c>
      <c r="C1402" s="3" t="str">
        <f>HYPERLINK("https://otsuka-europe-crm.veevavault.com/ui/#object/sent_email__v/VBLZ025E82GNO1E", "SE-000273021")</f>
        <v>SE-000273021</v>
      </c>
      <c r="D1402" s="4">
        <v>45918.773240740738</v>
      </c>
      <c r="E1402" s="5">
        <v>1</v>
      </c>
      <c r="F1402" s="5">
        <v>3</v>
      </c>
      <c r="G1402" s="5">
        <v>0</v>
      </c>
      <c r="H1402" s="4" t="s">
        <v>11</v>
      </c>
      <c r="I1402" s="5">
        <v>0</v>
      </c>
      <c r="J1402" s="4">
        <v>45916.294722222221</v>
      </c>
    </row>
    <row r="1403" spans="1:10" x14ac:dyDescent="0.2">
      <c r="A1403" s="2" t="s">
        <v>10</v>
      </c>
      <c r="B1403" s="3" t="str">
        <f t="shared" si="31"/>
        <v>France - HCP Survey Email - June 2025</v>
      </c>
      <c r="C1403" s="3" t="str">
        <f>HYPERLINK("https://otsuka-europe-crm.veevavault.com/ui/#object/sent_email__v/VBLZ025E82GNO1F", "SE-000273022")</f>
        <v>SE-000273022</v>
      </c>
      <c r="D1403" s="4">
        <v>45916.336342592593</v>
      </c>
      <c r="E1403" s="5">
        <v>1</v>
      </c>
      <c r="F1403" s="5">
        <v>1</v>
      </c>
      <c r="G1403" s="5">
        <v>0</v>
      </c>
      <c r="H1403" s="4" t="s">
        <v>11</v>
      </c>
      <c r="I1403" s="5">
        <v>0</v>
      </c>
      <c r="J1403" s="4">
        <v>45916.294444444444</v>
      </c>
    </row>
    <row r="1404" spans="1:10" x14ac:dyDescent="0.2">
      <c r="A1404" s="2" t="s">
        <v>10</v>
      </c>
      <c r="B1404" s="3" t="str">
        <f t="shared" si="31"/>
        <v>France - HCP Survey Email - June 2025</v>
      </c>
      <c r="C1404" s="3" t="str">
        <f>HYPERLINK("https://otsuka-europe-crm.veevavault.com/ui/#object/sent_email__v/VBLZ025E82GNO1G", "SE-000273023")</f>
        <v>SE-000273023</v>
      </c>
      <c r="D1404" s="4" t="s">
        <v>11</v>
      </c>
      <c r="E1404" s="5">
        <v>0</v>
      </c>
      <c r="F1404" s="5">
        <v>0</v>
      </c>
      <c r="G1404" s="5">
        <v>0</v>
      </c>
      <c r="H1404" s="4" t="s">
        <v>11</v>
      </c>
      <c r="I1404" s="5">
        <v>0</v>
      </c>
      <c r="J1404" s="4">
        <v>45916.294976851852</v>
      </c>
    </row>
    <row r="1405" spans="1:10" x14ac:dyDescent="0.2">
      <c r="A1405" s="2" t="s">
        <v>10</v>
      </c>
      <c r="B1405" s="3" t="str">
        <f t="shared" si="31"/>
        <v>France - HCP Survey Email - June 2025</v>
      </c>
      <c r="C1405" s="3" t="str">
        <f>HYPERLINK("https://otsuka-europe-crm.veevavault.com/ui/#object/sent_email__v/VBLZ025E82GNO1H", "SE-000273024")</f>
        <v>SE-000273024</v>
      </c>
      <c r="D1405" s="4" t="s">
        <v>11</v>
      </c>
      <c r="E1405" s="5">
        <v>0</v>
      </c>
      <c r="F1405" s="5">
        <v>0</v>
      </c>
      <c r="G1405" s="5">
        <v>0</v>
      </c>
      <c r="H1405" s="4" t="s">
        <v>11</v>
      </c>
      <c r="I1405" s="5">
        <v>0</v>
      </c>
      <c r="J1405" s="4">
        <v>45916.294745370367</v>
      </c>
    </row>
    <row r="1406" spans="1:10" x14ac:dyDescent="0.2">
      <c r="A1406" s="2" t="s">
        <v>10</v>
      </c>
      <c r="B1406" s="3" t="str">
        <f t="shared" si="31"/>
        <v>France - HCP Survey Email - June 2025</v>
      </c>
      <c r="C1406" s="3" t="str">
        <f>HYPERLINK("https://otsuka-europe-crm.veevavault.com/ui/#object/sent_email__v/VBLZ025E82GNO1I", "SE-000273025")</f>
        <v>SE-000273025</v>
      </c>
      <c r="D1406" s="4" t="s">
        <v>11</v>
      </c>
      <c r="E1406" s="5">
        <v>0</v>
      </c>
      <c r="F1406" s="5">
        <v>0</v>
      </c>
      <c r="G1406" s="5">
        <v>0</v>
      </c>
      <c r="H1406" s="4" t="s">
        <v>11</v>
      </c>
      <c r="I1406" s="5">
        <v>0</v>
      </c>
      <c r="J1406" s="4">
        <v>45916.294537037036</v>
      </c>
    </row>
    <row r="1407" spans="1:10" x14ac:dyDescent="0.2">
      <c r="A1407" s="2" t="s">
        <v>10</v>
      </c>
      <c r="B1407" s="3" t="str">
        <f t="shared" si="31"/>
        <v>France - HCP Survey Email - June 2025</v>
      </c>
      <c r="C1407" s="3" t="str">
        <f>HYPERLINK("https://otsuka-europe-crm.veevavault.com/ui/#object/sent_email__v/VBLZ025E82GNO1J", "SE-000273026")</f>
        <v>SE-000273026</v>
      </c>
      <c r="D1407" s="4" t="s">
        <v>11</v>
      </c>
      <c r="E1407" s="5">
        <v>0</v>
      </c>
      <c r="F1407" s="5">
        <v>0</v>
      </c>
      <c r="G1407" s="5">
        <v>0</v>
      </c>
      <c r="H1407" s="4" t="s">
        <v>11</v>
      </c>
      <c r="I1407" s="5">
        <v>0</v>
      </c>
      <c r="J1407" s="4">
        <v>45916.294398148151</v>
      </c>
    </row>
    <row r="1408" spans="1:10" x14ac:dyDescent="0.2">
      <c r="A1408" s="2" t="s">
        <v>10</v>
      </c>
      <c r="B1408" s="3" t="str">
        <f t="shared" si="31"/>
        <v>France - HCP Survey Email - June 2025</v>
      </c>
      <c r="C1408" s="3" t="str">
        <f>HYPERLINK("https://otsuka-europe-crm.veevavault.com/ui/#object/sent_email__v/VBLZ025E82GNO1K", "SE-000273027")</f>
        <v>SE-000273027</v>
      </c>
      <c r="D1408" s="4">
        <v>45923.538229166668</v>
      </c>
      <c r="E1408" s="5">
        <v>1</v>
      </c>
      <c r="F1408" s="5">
        <v>1</v>
      </c>
      <c r="G1408" s="5">
        <v>0</v>
      </c>
      <c r="H1408" s="4" t="s">
        <v>11</v>
      </c>
      <c r="I1408" s="5">
        <v>0</v>
      </c>
      <c r="J1408" s="4">
        <v>45916.294988425929</v>
      </c>
    </row>
    <row r="1409" spans="1:10" x14ac:dyDescent="0.2">
      <c r="A1409" s="2" t="s">
        <v>10</v>
      </c>
      <c r="B1409" s="3" t="str">
        <f t="shared" ref="B1409:B1472" si="32">HYPERLINK("https://otsuka-europe-crm.veevavault.com/ui/#object/approved_document__v/V5OZ025E82TMV97", "France - HCP Survey Email - June 2025")</f>
        <v>France - HCP Survey Email - June 2025</v>
      </c>
      <c r="C1409" s="3" t="str">
        <f>HYPERLINK("https://otsuka-europe-crm.veevavault.com/ui/#object/sent_email__v/VBLZ025E82GNO1L", "SE-000273028")</f>
        <v>SE-000273028</v>
      </c>
      <c r="D1409" s="4" t="s">
        <v>11</v>
      </c>
      <c r="E1409" s="5">
        <v>0</v>
      </c>
      <c r="F1409" s="5">
        <v>0</v>
      </c>
      <c r="G1409" s="5">
        <v>0</v>
      </c>
      <c r="H1409" s="4" t="s">
        <v>11</v>
      </c>
      <c r="I1409" s="5">
        <v>0</v>
      </c>
      <c r="J1409" s="4">
        <v>45916.294652777775</v>
      </c>
    </row>
    <row r="1410" spans="1:10" x14ac:dyDescent="0.2">
      <c r="A1410" s="2" t="s">
        <v>10</v>
      </c>
      <c r="B1410" s="3" t="str">
        <f t="shared" si="32"/>
        <v>France - HCP Survey Email - June 2025</v>
      </c>
      <c r="C1410" s="3" t="str">
        <f>HYPERLINK("https://otsuka-europe-crm.veevavault.com/ui/#object/sent_email__v/VBLZ025E82GNO1M", "SE-000273029")</f>
        <v>SE-000273029</v>
      </c>
      <c r="D1410" s="4" t="s">
        <v>11</v>
      </c>
      <c r="E1410" s="5">
        <v>0</v>
      </c>
      <c r="F1410" s="5">
        <v>0</v>
      </c>
      <c r="G1410" s="5">
        <v>0</v>
      </c>
      <c r="H1410" s="4" t="s">
        <v>11</v>
      </c>
      <c r="I1410" s="5">
        <v>0</v>
      </c>
      <c r="J1410" s="4">
        <v>45916.294374999998</v>
      </c>
    </row>
    <row r="1411" spans="1:10" x14ac:dyDescent="0.2">
      <c r="A1411" s="2" t="s">
        <v>10</v>
      </c>
      <c r="B1411" s="3" t="str">
        <f t="shared" si="32"/>
        <v>France - HCP Survey Email - June 2025</v>
      </c>
      <c r="C1411" s="3" t="str">
        <f>HYPERLINK("https://otsuka-europe-crm.veevavault.com/ui/#object/sent_email__v/VBLZ025E82GNO1N", "SE-000273030")</f>
        <v>SE-000273030</v>
      </c>
      <c r="D1411" s="4" t="s">
        <v>11</v>
      </c>
      <c r="E1411" s="5">
        <v>0</v>
      </c>
      <c r="F1411" s="5">
        <v>0</v>
      </c>
      <c r="G1411" s="5">
        <v>0</v>
      </c>
      <c r="H1411" s="4" t="s">
        <v>11</v>
      </c>
      <c r="I1411" s="5">
        <v>0</v>
      </c>
      <c r="J1411" s="4">
        <v>45916.294270833336</v>
      </c>
    </row>
    <row r="1412" spans="1:10" x14ac:dyDescent="0.2">
      <c r="A1412" s="2" t="s">
        <v>10</v>
      </c>
      <c r="B1412" s="3" t="str">
        <f t="shared" si="32"/>
        <v>France - HCP Survey Email - June 2025</v>
      </c>
      <c r="C1412" s="3" t="str">
        <f>HYPERLINK("https://otsuka-europe-crm.veevavault.com/ui/#object/sent_email__v/VBLZ025E82GNO1O", "SE-000273031")</f>
        <v>SE-000273031</v>
      </c>
      <c r="D1412" s="4">
        <v>45935.543391203704</v>
      </c>
      <c r="E1412" s="5">
        <v>1</v>
      </c>
      <c r="F1412" s="5">
        <v>2</v>
      </c>
      <c r="G1412" s="5">
        <v>0</v>
      </c>
      <c r="H1412" s="4" t="s">
        <v>11</v>
      </c>
      <c r="I1412" s="5">
        <v>0</v>
      </c>
      <c r="J1412" s="4">
        <v>45916.29488425926</v>
      </c>
    </row>
    <row r="1413" spans="1:10" x14ac:dyDescent="0.2">
      <c r="A1413" s="2" t="s">
        <v>10</v>
      </c>
      <c r="B1413" s="3" t="str">
        <f t="shared" si="32"/>
        <v>France - HCP Survey Email - June 2025</v>
      </c>
      <c r="C1413" s="3" t="str">
        <f>HYPERLINK("https://otsuka-europe-crm.veevavault.com/ui/#object/sent_email__v/VBLZ025E82GNO1P", "SE-000273032")</f>
        <v>SE-000273032</v>
      </c>
      <c r="D1413" s="4" t="s">
        <v>11</v>
      </c>
      <c r="E1413" s="5">
        <v>0</v>
      </c>
      <c r="F1413" s="5">
        <v>0</v>
      </c>
      <c r="G1413" s="5">
        <v>0</v>
      </c>
      <c r="H1413" s="4" t="s">
        <v>11</v>
      </c>
      <c r="I1413" s="5">
        <v>0</v>
      </c>
      <c r="J1413" s="4">
        <v>45916.294606481482</v>
      </c>
    </row>
    <row r="1414" spans="1:10" x14ac:dyDescent="0.2">
      <c r="A1414" s="2" t="s">
        <v>10</v>
      </c>
      <c r="B1414" s="3" t="str">
        <f t="shared" si="32"/>
        <v>France - HCP Survey Email - June 2025</v>
      </c>
      <c r="C1414" s="3" t="str">
        <f>HYPERLINK("https://otsuka-europe-crm.veevavault.com/ui/#object/sent_email__v/VBLZ025E82GNO1Q", "SE-000273033")</f>
        <v>SE-000273033</v>
      </c>
      <c r="D1414" s="4">
        <v>45924.702291666668</v>
      </c>
      <c r="E1414" s="5">
        <v>1</v>
      </c>
      <c r="F1414" s="5">
        <v>4</v>
      </c>
      <c r="G1414" s="5">
        <v>0</v>
      </c>
      <c r="H1414" s="4" t="s">
        <v>11</v>
      </c>
      <c r="I1414" s="5">
        <v>0</v>
      </c>
      <c r="J1414" s="4">
        <v>45916.294386574074</v>
      </c>
    </row>
    <row r="1415" spans="1:10" x14ac:dyDescent="0.2">
      <c r="A1415" s="2" t="s">
        <v>10</v>
      </c>
      <c r="B1415" s="3" t="str">
        <f t="shared" si="32"/>
        <v>France - HCP Survey Email - June 2025</v>
      </c>
      <c r="C1415" s="3" t="str">
        <f>HYPERLINK("https://otsuka-europe-crm.veevavault.com/ui/#object/sent_email__v/VBLZ025E82GNO1R", "SE-000273034")</f>
        <v>SE-000273034</v>
      </c>
      <c r="D1415" s="4">
        <v>45916.309571759259</v>
      </c>
      <c r="E1415" s="5">
        <v>1</v>
      </c>
      <c r="F1415" s="5">
        <v>1</v>
      </c>
      <c r="G1415" s="5">
        <v>0</v>
      </c>
      <c r="H1415" s="4" t="s">
        <v>11</v>
      </c>
      <c r="I1415" s="5">
        <v>0</v>
      </c>
      <c r="J1415" s="4">
        <v>45916.294918981483</v>
      </c>
    </row>
    <row r="1416" spans="1:10" x14ac:dyDescent="0.2">
      <c r="A1416" s="2" t="s">
        <v>10</v>
      </c>
      <c r="B1416" s="3" t="str">
        <f t="shared" si="32"/>
        <v>France - HCP Survey Email - June 2025</v>
      </c>
      <c r="C1416" s="3" t="str">
        <f>HYPERLINK("https://otsuka-europe-crm.veevavault.com/ui/#object/sent_email__v/VBLZ025E82GNO1S", "SE-000273035")</f>
        <v>SE-000273035</v>
      </c>
      <c r="D1416" s="4" t="s">
        <v>11</v>
      </c>
      <c r="E1416" s="5">
        <v>0</v>
      </c>
      <c r="F1416" s="5">
        <v>0</v>
      </c>
      <c r="G1416" s="5">
        <v>0</v>
      </c>
      <c r="H1416" s="4" t="s">
        <v>11</v>
      </c>
      <c r="I1416" s="5">
        <v>0</v>
      </c>
      <c r="J1416" s="4">
        <v>45916.294722222221</v>
      </c>
    </row>
    <row r="1417" spans="1:10" x14ac:dyDescent="0.2">
      <c r="A1417" s="2" t="s">
        <v>10</v>
      </c>
      <c r="B1417" s="3" t="str">
        <f t="shared" si="32"/>
        <v>France - HCP Survey Email - June 2025</v>
      </c>
      <c r="C1417" s="3" t="str">
        <f>HYPERLINK("https://otsuka-europe-crm.veevavault.com/ui/#object/sent_email__v/VBLZ025E82GNO1T", "SE-000273036")</f>
        <v>SE-000273036</v>
      </c>
      <c r="D1417" s="4" t="s">
        <v>11</v>
      </c>
      <c r="E1417" s="5">
        <v>0</v>
      </c>
      <c r="F1417" s="5">
        <v>0</v>
      </c>
      <c r="G1417" s="5">
        <v>0</v>
      </c>
      <c r="H1417" s="4" t="s">
        <v>11</v>
      </c>
      <c r="I1417" s="5">
        <v>0</v>
      </c>
      <c r="J1417" s="4">
        <v>45916.294594907406</v>
      </c>
    </row>
    <row r="1418" spans="1:10" x14ac:dyDescent="0.2">
      <c r="A1418" s="2" t="s">
        <v>10</v>
      </c>
      <c r="B1418" s="3" t="str">
        <f t="shared" si="32"/>
        <v>France - HCP Survey Email - June 2025</v>
      </c>
      <c r="C1418" s="3" t="str">
        <f>HYPERLINK("https://otsuka-europe-crm.veevavault.com/ui/#object/sent_email__v/VBLZ025E82GNO1U", "SE-000273037")</f>
        <v>SE-000273037</v>
      </c>
      <c r="D1418" s="4">
        <v>45916.34275462963</v>
      </c>
      <c r="E1418" s="5">
        <v>1</v>
      </c>
      <c r="F1418" s="5">
        <v>1</v>
      </c>
      <c r="G1418" s="5">
        <v>1</v>
      </c>
      <c r="H1418" s="4">
        <v>45916.34275462963</v>
      </c>
      <c r="I1418" s="5">
        <v>1</v>
      </c>
      <c r="J1418" s="4">
        <v>45916.294305555559</v>
      </c>
    </row>
    <row r="1419" spans="1:10" x14ac:dyDescent="0.2">
      <c r="A1419" s="2" t="s">
        <v>10</v>
      </c>
      <c r="B1419" s="3" t="str">
        <f t="shared" si="32"/>
        <v>France - HCP Survey Email - June 2025</v>
      </c>
      <c r="C1419" s="3" t="str">
        <f>HYPERLINK("https://otsuka-europe-crm.veevavault.com/ui/#object/sent_email__v/VBLZ025E82GNO1V", "SE-000273038")</f>
        <v>SE-000273038</v>
      </c>
      <c r="D1419" s="4">
        <v>45916.296597222223</v>
      </c>
      <c r="E1419" s="5">
        <v>1</v>
      </c>
      <c r="F1419" s="5">
        <v>1</v>
      </c>
      <c r="G1419" s="5">
        <v>0</v>
      </c>
      <c r="H1419" s="4" t="s">
        <v>11</v>
      </c>
      <c r="I1419" s="5">
        <v>0</v>
      </c>
      <c r="J1419" s="4">
        <v>45916.295081018521</v>
      </c>
    </row>
    <row r="1420" spans="1:10" x14ac:dyDescent="0.2">
      <c r="A1420" s="2" t="s">
        <v>10</v>
      </c>
      <c r="B1420" s="3" t="str">
        <f t="shared" si="32"/>
        <v>France - HCP Survey Email - June 2025</v>
      </c>
      <c r="C1420" s="3" t="str">
        <f>HYPERLINK("https://otsuka-europe-crm.veevavault.com/ui/#object/sent_email__v/VBLZ025E82GNO1W", "SE-000273039")</f>
        <v>SE-000273039</v>
      </c>
      <c r="D1420" s="4" t="s">
        <v>11</v>
      </c>
      <c r="E1420" s="5">
        <v>0</v>
      </c>
      <c r="F1420" s="5">
        <v>0</v>
      </c>
      <c r="G1420" s="5">
        <v>0</v>
      </c>
      <c r="H1420" s="4" t="s">
        <v>11</v>
      </c>
      <c r="I1420" s="5">
        <v>0</v>
      </c>
      <c r="J1420" s="4">
        <v>45916.294618055559</v>
      </c>
    </row>
    <row r="1421" spans="1:10" x14ac:dyDescent="0.2">
      <c r="A1421" s="2" t="s">
        <v>10</v>
      </c>
      <c r="B1421" s="3" t="str">
        <f t="shared" si="32"/>
        <v>France - HCP Survey Email - June 2025</v>
      </c>
      <c r="C1421" s="3" t="str">
        <f>HYPERLINK("https://otsuka-europe-crm.veevavault.com/ui/#object/sent_email__v/VBLZ025E82GNO1X", "SE-000273040")</f>
        <v>SE-000273040</v>
      </c>
      <c r="D1421" s="4" t="s">
        <v>11</v>
      </c>
      <c r="E1421" s="5">
        <v>0</v>
      </c>
      <c r="F1421" s="5">
        <v>0</v>
      </c>
      <c r="G1421" s="5">
        <v>0</v>
      </c>
      <c r="H1421" s="4" t="s">
        <v>11</v>
      </c>
      <c r="I1421" s="5">
        <v>0</v>
      </c>
      <c r="J1421" s="4">
        <v>45916.294363425928</v>
      </c>
    </row>
    <row r="1422" spans="1:10" x14ac:dyDescent="0.2">
      <c r="A1422" s="2" t="s">
        <v>10</v>
      </c>
      <c r="B1422" s="3" t="str">
        <f t="shared" si="32"/>
        <v>France - HCP Survey Email - June 2025</v>
      </c>
      <c r="C1422" s="3" t="str">
        <f>HYPERLINK("https://otsuka-europe-crm.veevavault.com/ui/#object/sent_email__v/VBLZ025E82GNO1Y", "SE-000273041")</f>
        <v>SE-000273041</v>
      </c>
      <c r="D1422" s="4" t="s">
        <v>11</v>
      </c>
      <c r="E1422" s="5">
        <v>0</v>
      </c>
      <c r="F1422" s="5">
        <v>0</v>
      </c>
      <c r="G1422" s="5">
        <v>0</v>
      </c>
      <c r="H1422" s="4" t="s">
        <v>11</v>
      </c>
      <c r="I1422" s="5">
        <v>0</v>
      </c>
      <c r="J1422" s="4">
        <v>45916.294537037036</v>
      </c>
    </row>
    <row r="1423" spans="1:10" x14ac:dyDescent="0.2">
      <c r="A1423" s="2" t="s">
        <v>10</v>
      </c>
      <c r="B1423" s="3" t="str">
        <f t="shared" si="32"/>
        <v>France - HCP Survey Email - June 2025</v>
      </c>
      <c r="C1423" s="3" t="str">
        <f>HYPERLINK("https://otsuka-europe-crm.veevavault.com/ui/#object/sent_email__v/VBLZ025E82GNO20", "SE-000273043")</f>
        <v>SE-000273043</v>
      </c>
      <c r="D1423" s="4" t="s">
        <v>11</v>
      </c>
      <c r="E1423" s="5">
        <v>0</v>
      </c>
      <c r="F1423" s="5">
        <v>0</v>
      </c>
      <c r="G1423" s="5">
        <v>0</v>
      </c>
      <c r="H1423" s="4" t="s">
        <v>11</v>
      </c>
      <c r="I1423" s="5">
        <v>0</v>
      </c>
      <c r="J1423" s="4">
        <v>45916.295023148145</v>
      </c>
    </row>
    <row r="1424" spans="1:10" x14ac:dyDescent="0.2">
      <c r="A1424" s="2" t="s">
        <v>10</v>
      </c>
      <c r="B1424" s="3" t="str">
        <f t="shared" si="32"/>
        <v>France - HCP Survey Email - June 2025</v>
      </c>
      <c r="C1424" s="3" t="str">
        <f>HYPERLINK("https://otsuka-europe-crm.veevavault.com/ui/#object/sent_email__v/VBLZ025E82GNO21", "SE-000273044")</f>
        <v>SE-000273044</v>
      </c>
      <c r="D1424" s="4" t="s">
        <v>11</v>
      </c>
      <c r="E1424" s="5">
        <v>0</v>
      </c>
      <c r="F1424" s="5">
        <v>0</v>
      </c>
      <c r="G1424" s="5">
        <v>0</v>
      </c>
      <c r="H1424" s="4" t="s">
        <v>11</v>
      </c>
      <c r="I1424" s="5">
        <v>0</v>
      </c>
      <c r="J1424" s="4">
        <v>45916.294664351852</v>
      </c>
    </row>
    <row r="1425" spans="1:10" x14ac:dyDescent="0.2">
      <c r="A1425" s="2" t="s">
        <v>10</v>
      </c>
      <c r="B1425" s="3" t="str">
        <f t="shared" si="32"/>
        <v>France - HCP Survey Email - June 2025</v>
      </c>
      <c r="C1425" s="3" t="str">
        <f>HYPERLINK("https://otsuka-europe-crm.veevavault.com/ui/#object/sent_email__v/VBLZ025E82GNO22", "SE-000273045")</f>
        <v>SE-000273045</v>
      </c>
      <c r="D1425" s="4" t="s">
        <v>11</v>
      </c>
      <c r="E1425" s="5">
        <v>0</v>
      </c>
      <c r="F1425" s="5">
        <v>0</v>
      </c>
      <c r="G1425" s="5">
        <v>0</v>
      </c>
      <c r="H1425" s="4" t="s">
        <v>11</v>
      </c>
      <c r="I1425" s="5">
        <v>0</v>
      </c>
      <c r="J1425" s="4">
        <v>45916.294340277775</v>
      </c>
    </row>
    <row r="1426" spans="1:10" x14ac:dyDescent="0.2">
      <c r="A1426" s="2" t="s">
        <v>10</v>
      </c>
      <c r="B1426" s="3" t="str">
        <f t="shared" si="32"/>
        <v>France - HCP Survey Email - June 2025</v>
      </c>
      <c r="C1426" s="3" t="str">
        <f>HYPERLINK("https://otsuka-europe-crm.veevavault.com/ui/#object/sent_email__v/VBLZ025E82GNO23", "SE-000273046")</f>
        <v>SE-000273046</v>
      </c>
      <c r="D1426" s="4" t="s">
        <v>11</v>
      </c>
      <c r="E1426" s="5">
        <v>0</v>
      </c>
      <c r="F1426" s="5">
        <v>0</v>
      </c>
      <c r="G1426" s="5">
        <v>0</v>
      </c>
      <c r="H1426" s="4" t="s">
        <v>11</v>
      </c>
      <c r="I1426" s="5">
        <v>0</v>
      </c>
      <c r="J1426" s="4">
        <v>45916.294293981482</v>
      </c>
    </row>
    <row r="1427" spans="1:10" x14ac:dyDescent="0.2">
      <c r="A1427" s="2" t="s">
        <v>10</v>
      </c>
      <c r="B1427" s="3" t="str">
        <f t="shared" si="32"/>
        <v>France - HCP Survey Email - June 2025</v>
      </c>
      <c r="C1427" s="3" t="str">
        <f>HYPERLINK("https://otsuka-europe-crm.veevavault.com/ui/#object/sent_email__v/VBLZ025E82GNO24", "SE-000273047")</f>
        <v>SE-000273047</v>
      </c>
      <c r="D1427" s="4">
        <v>45917.573888888888</v>
      </c>
      <c r="E1427" s="5">
        <v>1</v>
      </c>
      <c r="F1427" s="5">
        <v>2</v>
      </c>
      <c r="G1427" s="5">
        <v>0</v>
      </c>
      <c r="H1427" s="4" t="s">
        <v>11</v>
      </c>
      <c r="I1427" s="5">
        <v>0</v>
      </c>
      <c r="J1427" s="4">
        <v>45916.294953703706</v>
      </c>
    </row>
    <row r="1428" spans="1:10" x14ac:dyDescent="0.2">
      <c r="A1428" s="2" t="s">
        <v>10</v>
      </c>
      <c r="B1428" s="3" t="str">
        <f t="shared" si="32"/>
        <v>France - HCP Survey Email - June 2025</v>
      </c>
      <c r="C1428" s="3" t="str">
        <f>HYPERLINK("https://otsuka-europe-crm.veevavault.com/ui/#object/sent_email__v/VBLZ025E82GNO25", "SE-000273048")</f>
        <v>SE-000273048</v>
      </c>
      <c r="D1428" s="4" t="s">
        <v>11</v>
      </c>
      <c r="E1428" s="5">
        <v>0</v>
      </c>
      <c r="F1428" s="5">
        <v>0</v>
      </c>
      <c r="G1428" s="5">
        <v>0</v>
      </c>
      <c r="H1428" s="4" t="s">
        <v>11</v>
      </c>
      <c r="I1428" s="5">
        <v>0</v>
      </c>
      <c r="J1428" s="4">
        <v>45916.294606481482</v>
      </c>
    </row>
    <row r="1429" spans="1:10" x14ac:dyDescent="0.2">
      <c r="A1429" s="2" t="s">
        <v>10</v>
      </c>
      <c r="B1429" s="3" t="str">
        <f t="shared" si="32"/>
        <v>France - HCP Survey Email - June 2025</v>
      </c>
      <c r="C1429" s="3" t="str">
        <f>HYPERLINK("https://otsuka-europe-crm.veevavault.com/ui/#object/sent_email__v/VBLZ025E82GNO26", "SE-000273049")</f>
        <v>SE-000273049</v>
      </c>
      <c r="D1429" s="4" t="s">
        <v>11</v>
      </c>
      <c r="E1429" s="5">
        <v>0</v>
      </c>
      <c r="F1429" s="5">
        <v>0</v>
      </c>
      <c r="G1429" s="5">
        <v>0</v>
      </c>
      <c r="H1429" s="4" t="s">
        <v>11</v>
      </c>
      <c r="I1429" s="5">
        <v>0</v>
      </c>
      <c r="J1429" s="4">
        <v>45916.294259259259</v>
      </c>
    </row>
    <row r="1430" spans="1:10" x14ac:dyDescent="0.2">
      <c r="A1430" s="2" t="s">
        <v>10</v>
      </c>
      <c r="B1430" s="3" t="str">
        <f t="shared" si="32"/>
        <v>France - HCP Survey Email - June 2025</v>
      </c>
      <c r="C1430" s="3" t="str">
        <f>HYPERLINK("https://otsuka-europe-crm.veevavault.com/ui/#object/sent_email__v/VBLZ025E82GNO27", "SE-000273050")</f>
        <v>SE-000273050</v>
      </c>
      <c r="D1430" s="4" t="s">
        <v>11</v>
      </c>
      <c r="E1430" s="5">
        <v>0</v>
      </c>
      <c r="F1430" s="5">
        <v>0</v>
      </c>
      <c r="G1430" s="5">
        <v>0</v>
      </c>
      <c r="H1430" s="4" t="s">
        <v>11</v>
      </c>
      <c r="I1430" s="5">
        <v>0</v>
      </c>
      <c r="J1430" s="4">
        <v>45916.294942129629</v>
      </c>
    </row>
    <row r="1431" spans="1:10" x14ac:dyDescent="0.2">
      <c r="A1431" s="2" t="s">
        <v>10</v>
      </c>
      <c r="B1431" s="3" t="str">
        <f t="shared" si="32"/>
        <v>France - HCP Survey Email - June 2025</v>
      </c>
      <c r="C1431" s="3" t="str">
        <f>HYPERLINK("https://otsuka-europe-crm.veevavault.com/ui/#object/sent_email__v/VBLZ025E82GNO28", "SE-000273051")</f>
        <v>SE-000273051</v>
      </c>
      <c r="D1431" s="4" t="s">
        <v>11</v>
      </c>
      <c r="E1431" s="5">
        <v>0</v>
      </c>
      <c r="F1431" s="5">
        <v>0</v>
      </c>
      <c r="G1431" s="5">
        <v>0</v>
      </c>
      <c r="H1431" s="4" t="s">
        <v>11</v>
      </c>
      <c r="I1431" s="5">
        <v>0</v>
      </c>
      <c r="J1431" s="4">
        <v>45916.294664351852</v>
      </c>
    </row>
    <row r="1432" spans="1:10" x14ac:dyDescent="0.2">
      <c r="A1432" s="2" t="s">
        <v>10</v>
      </c>
      <c r="B1432" s="3" t="str">
        <f t="shared" si="32"/>
        <v>France - HCP Survey Email - June 2025</v>
      </c>
      <c r="C1432" s="3" t="str">
        <f>HYPERLINK("https://otsuka-europe-crm.veevavault.com/ui/#object/sent_email__v/VBLZ025E82GNO29", "SE-000273052")</f>
        <v>SE-000273052</v>
      </c>
      <c r="D1432" s="4" t="s">
        <v>11</v>
      </c>
      <c r="E1432" s="5">
        <v>0</v>
      </c>
      <c r="F1432" s="5">
        <v>0</v>
      </c>
      <c r="G1432" s="5">
        <v>0</v>
      </c>
      <c r="H1432" s="4" t="s">
        <v>11</v>
      </c>
      <c r="I1432" s="5">
        <v>0</v>
      </c>
      <c r="J1432" s="4">
        <v>45915.422326388885</v>
      </c>
    </row>
    <row r="1433" spans="1:10" x14ac:dyDescent="0.2">
      <c r="A1433" s="2" t="s">
        <v>10</v>
      </c>
      <c r="B1433" s="3" t="str">
        <f t="shared" si="32"/>
        <v>France - HCP Survey Email - June 2025</v>
      </c>
      <c r="C1433" s="3" t="str">
        <f>HYPERLINK("https://otsuka-europe-crm.veevavault.com/ui/#object/sent_email__v/VBLZ025E82GNO2A", "SE-000273053")</f>
        <v>SE-000273053</v>
      </c>
      <c r="D1433" s="4" t="s">
        <v>11</v>
      </c>
      <c r="E1433" s="5">
        <v>0</v>
      </c>
      <c r="F1433" s="5">
        <v>0</v>
      </c>
      <c r="G1433" s="5">
        <v>0</v>
      </c>
      <c r="H1433" s="4" t="s">
        <v>11</v>
      </c>
      <c r="I1433" s="5">
        <v>0</v>
      </c>
      <c r="J1433" s="4">
        <v>45916.294293981482</v>
      </c>
    </row>
    <row r="1434" spans="1:10" x14ac:dyDescent="0.2">
      <c r="A1434" s="2" t="s">
        <v>10</v>
      </c>
      <c r="B1434" s="3" t="str">
        <f t="shared" si="32"/>
        <v>France - HCP Survey Email - June 2025</v>
      </c>
      <c r="C1434" s="3" t="str">
        <f>HYPERLINK("https://otsuka-europe-crm.veevavault.com/ui/#object/sent_email__v/VBLZ025E82GNO2B", "SE-000273054")</f>
        <v>SE-000273054</v>
      </c>
      <c r="D1434" s="4" t="s">
        <v>11</v>
      </c>
      <c r="E1434" s="5">
        <v>0</v>
      </c>
      <c r="F1434" s="5">
        <v>0</v>
      </c>
      <c r="G1434" s="5">
        <v>0</v>
      </c>
      <c r="H1434" s="4" t="s">
        <v>11</v>
      </c>
      <c r="I1434" s="5">
        <v>0</v>
      </c>
      <c r="J1434" s="4">
        <v>45916.298333333332</v>
      </c>
    </row>
    <row r="1435" spans="1:10" x14ac:dyDescent="0.2">
      <c r="A1435" s="2" t="s">
        <v>10</v>
      </c>
      <c r="B1435" s="3" t="str">
        <f t="shared" si="32"/>
        <v>France - HCP Survey Email - June 2025</v>
      </c>
      <c r="C1435" s="3" t="str">
        <f>HYPERLINK("https://otsuka-europe-crm.veevavault.com/ui/#object/sent_email__v/VBLZ025E82GNO2C", "SE-000273055")</f>
        <v>SE-000273055</v>
      </c>
      <c r="D1435" s="4" t="s">
        <v>11</v>
      </c>
      <c r="E1435" s="5">
        <v>0</v>
      </c>
      <c r="F1435" s="5">
        <v>0</v>
      </c>
      <c r="G1435" s="5">
        <v>0</v>
      </c>
      <c r="H1435" s="4" t="s">
        <v>11</v>
      </c>
      <c r="I1435" s="5">
        <v>0</v>
      </c>
      <c r="J1435" s="4">
        <v>45916.294687499998</v>
      </c>
    </row>
    <row r="1436" spans="1:10" x14ac:dyDescent="0.2">
      <c r="A1436" s="2" t="s">
        <v>10</v>
      </c>
      <c r="B1436" s="3" t="str">
        <f t="shared" si="32"/>
        <v>France - HCP Survey Email - June 2025</v>
      </c>
      <c r="C1436" s="3" t="str">
        <f>HYPERLINK("https://otsuka-europe-crm.veevavault.com/ui/#object/sent_email__v/VBLZ025E82GNO2D", "SE-000273056")</f>
        <v>SE-000273056</v>
      </c>
      <c r="D1436" s="4" t="s">
        <v>11</v>
      </c>
      <c r="E1436" s="5">
        <v>0</v>
      </c>
      <c r="F1436" s="5">
        <v>0</v>
      </c>
      <c r="G1436" s="5">
        <v>0</v>
      </c>
      <c r="H1436" s="4" t="s">
        <v>11</v>
      </c>
      <c r="I1436" s="5">
        <v>0</v>
      </c>
      <c r="J1436" s="4">
        <v>45916.294386574074</v>
      </c>
    </row>
    <row r="1437" spans="1:10" x14ac:dyDescent="0.2">
      <c r="A1437" s="2" t="s">
        <v>10</v>
      </c>
      <c r="B1437" s="3" t="str">
        <f t="shared" si="32"/>
        <v>France - HCP Survey Email - June 2025</v>
      </c>
      <c r="C1437" s="3" t="str">
        <f>HYPERLINK("https://otsuka-europe-crm.veevavault.com/ui/#object/sent_email__v/VBLZ025E82GNO2E", "SE-000273057")</f>
        <v>SE-000273057</v>
      </c>
      <c r="D1437" s="4">
        <v>45938.760868055557</v>
      </c>
      <c r="E1437" s="5">
        <v>1</v>
      </c>
      <c r="F1437" s="5">
        <v>2</v>
      </c>
      <c r="G1437" s="5">
        <v>0</v>
      </c>
      <c r="H1437" s="4" t="s">
        <v>11</v>
      </c>
      <c r="I1437" s="5">
        <v>0</v>
      </c>
      <c r="J1437" s="4">
        <v>45916.294317129628</v>
      </c>
    </row>
    <row r="1438" spans="1:10" x14ac:dyDescent="0.2">
      <c r="A1438" s="2" t="s">
        <v>10</v>
      </c>
      <c r="B1438" s="3" t="str">
        <f t="shared" si="32"/>
        <v>France - HCP Survey Email - June 2025</v>
      </c>
      <c r="C1438" s="3" t="str">
        <f>HYPERLINK("https://otsuka-europe-crm.veevavault.com/ui/#object/sent_email__v/VBLZ025E82GNO2F", "SE-000273058")</f>
        <v>SE-000273058</v>
      </c>
      <c r="D1438" s="4" t="s">
        <v>11</v>
      </c>
      <c r="E1438" s="5">
        <v>0</v>
      </c>
      <c r="F1438" s="5">
        <v>0</v>
      </c>
      <c r="G1438" s="5">
        <v>0</v>
      </c>
      <c r="H1438" s="4" t="s">
        <v>11</v>
      </c>
      <c r="I1438" s="5">
        <v>0</v>
      </c>
      <c r="J1438" s="4">
        <v>45916.294953703706</v>
      </c>
    </row>
    <row r="1439" spans="1:10" x14ac:dyDescent="0.2">
      <c r="A1439" s="2" t="s">
        <v>10</v>
      </c>
      <c r="B1439" s="3" t="str">
        <f t="shared" si="32"/>
        <v>France - HCP Survey Email - June 2025</v>
      </c>
      <c r="C1439" s="3" t="str">
        <f>HYPERLINK("https://otsuka-europe-crm.veevavault.com/ui/#object/sent_email__v/VBLZ025E82GNO2G", "SE-000273059")</f>
        <v>SE-000273059</v>
      </c>
      <c r="D1439" s="4" t="s">
        <v>11</v>
      </c>
      <c r="E1439" s="5">
        <v>0</v>
      </c>
      <c r="F1439" s="5">
        <v>0</v>
      </c>
      <c r="G1439" s="5">
        <v>0</v>
      </c>
      <c r="H1439" s="4" t="s">
        <v>11</v>
      </c>
      <c r="I1439" s="5">
        <v>0</v>
      </c>
      <c r="J1439" s="4">
        <v>45916.294652777775</v>
      </c>
    </row>
    <row r="1440" spans="1:10" x14ac:dyDescent="0.2">
      <c r="A1440" s="2" t="s">
        <v>10</v>
      </c>
      <c r="B1440" s="3" t="str">
        <f t="shared" si="32"/>
        <v>France - HCP Survey Email - June 2025</v>
      </c>
      <c r="C1440" s="3" t="str">
        <f>HYPERLINK("https://otsuka-europe-crm.veevavault.com/ui/#object/sent_email__v/VBLZ025E82GNO2H", "SE-000273060")</f>
        <v>SE-000273060</v>
      </c>
      <c r="D1440" s="4" t="s">
        <v>11</v>
      </c>
      <c r="E1440" s="5">
        <v>0</v>
      </c>
      <c r="F1440" s="5">
        <v>0</v>
      </c>
      <c r="G1440" s="5">
        <v>0</v>
      </c>
      <c r="H1440" s="4" t="s">
        <v>11</v>
      </c>
      <c r="I1440" s="5">
        <v>0</v>
      </c>
      <c r="J1440" s="4">
        <v>45916.294328703705</v>
      </c>
    </row>
    <row r="1441" spans="1:10" x14ac:dyDescent="0.2">
      <c r="A1441" s="2" t="s">
        <v>10</v>
      </c>
      <c r="B1441" s="3" t="str">
        <f t="shared" si="32"/>
        <v>France - HCP Survey Email - June 2025</v>
      </c>
      <c r="C1441" s="3" t="str">
        <f>HYPERLINK("https://otsuka-europe-crm.veevavault.com/ui/#object/sent_email__v/VBLZ025E82GNO2I", "SE-000273061")</f>
        <v>SE-000273061</v>
      </c>
      <c r="D1441" s="4" t="s">
        <v>11</v>
      </c>
      <c r="E1441" s="5">
        <v>0</v>
      </c>
      <c r="F1441" s="5">
        <v>0</v>
      </c>
      <c r="G1441" s="5">
        <v>0</v>
      </c>
      <c r="H1441" s="4" t="s">
        <v>11</v>
      </c>
      <c r="I1441" s="5">
        <v>0</v>
      </c>
      <c r="J1441" s="4">
        <v>45916.294999999998</v>
      </c>
    </row>
    <row r="1442" spans="1:10" x14ac:dyDescent="0.2">
      <c r="A1442" s="2" t="s">
        <v>10</v>
      </c>
      <c r="B1442" s="3" t="str">
        <f t="shared" si="32"/>
        <v>France - HCP Survey Email - June 2025</v>
      </c>
      <c r="C1442" s="3" t="str">
        <f>HYPERLINK("https://otsuka-europe-crm.veevavault.com/ui/#object/sent_email__v/VBLZ025E82GNO2J", "SE-000273062")</f>
        <v>SE-000273062</v>
      </c>
      <c r="D1442" s="4" t="s">
        <v>11</v>
      </c>
      <c r="E1442" s="5">
        <v>0</v>
      </c>
      <c r="F1442" s="5">
        <v>0</v>
      </c>
      <c r="G1442" s="5">
        <v>0</v>
      </c>
      <c r="H1442" s="4" t="s">
        <v>11</v>
      </c>
      <c r="I1442" s="5">
        <v>0</v>
      </c>
      <c r="J1442" s="4">
        <v>45916.294733796298</v>
      </c>
    </row>
    <row r="1443" spans="1:10" x14ac:dyDescent="0.2">
      <c r="A1443" s="2" t="s">
        <v>10</v>
      </c>
      <c r="B1443" s="3" t="str">
        <f t="shared" si="32"/>
        <v>France - HCP Survey Email - June 2025</v>
      </c>
      <c r="C1443" s="3" t="str">
        <f>HYPERLINK("https://otsuka-europe-crm.veevavault.com/ui/#object/sent_email__v/VBLZ025E82GNO2K", "SE-000273063")</f>
        <v>SE-000273063</v>
      </c>
      <c r="D1443" s="4" t="s">
        <v>11</v>
      </c>
      <c r="E1443" s="5">
        <v>0</v>
      </c>
      <c r="F1443" s="5">
        <v>0</v>
      </c>
      <c r="G1443" s="5">
        <v>0</v>
      </c>
      <c r="H1443" s="4" t="s">
        <v>11</v>
      </c>
      <c r="I1443" s="5">
        <v>0</v>
      </c>
      <c r="J1443" s="4">
        <v>45916.294571759259</v>
      </c>
    </row>
    <row r="1444" spans="1:10" x14ac:dyDescent="0.2">
      <c r="A1444" s="2" t="s">
        <v>10</v>
      </c>
      <c r="B1444" s="3" t="str">
        <f t="shared" si="32"/>
        <v>France - HCP Survey Email - June 2025</v>
      </c>
      <c r="C1444" s="3" t="str">
        <f>HYPERLINK("https://otsuka-europe-crm.veevavault.com/ui/#object/sent_email__v/VBLZ025E82GNO2L", "SE-000273064")</f>
        <v>SE-000273064</v>
      </c>
      <c r="D1444" s="4" t="s">
        <v>11</v>
      </c>
      <c r="E1444" s="5">
        <v>0</v>
      </c>
      <c r="F1444" s="5">
        <v>0</v>
      </c>
      <c r="G1444" s="5">
        <v>0</v>
      </c>
      <c r="H1444" s="4" t="s">
        <v>11</v>
      </c>
      <c r="I1444" s="5">
        <v>0</v>
      </c>
      <c r="J1444" s="4">
        <v>45916.294340277775</v>
      </c>
    </row>
    <row r="1445" spans="1:10" x14ac:dyDescent="0.2">
      <c r="A1445" s="2" t="s">
        <v>10</v>
      </c>
      <c r="B1445" s="3" t="str">
        <f t="shared" si="32"/>
        <v>France - HCP Survey Email - June 2025</v>
      </c>
      <c r="C1445" s="3" t="str">
        <f>HYPERLINK("https://otsuka-europe-crm.veevavault.com/ui/#object/sent_email__v/VBLZ025E82GNO2M", "SE-000273065")</f>
        <v>SE-000273065</v>
      </c>
      <c r="D1445" s="4" t="s">
        <v>11</v>
      </c>
      <c r="E1445" s="5">
        <v>0</v>
      </c>
      <c r="F1445" s="5">
        <v>0</v>
      </c>
      <c r="G1445" s="5">
        <v>0</v>
      </c>
      <c r="H1445" s="4" t="s">
        <v>11</v>
      </c>
      <c r="I1445" s="5">
        <v>0</v>
      </c>
      <c r="J1445" s="4">
        <v>45916.294814814813</v>
      </c>
    </row>
    <row r="1446" spans="1:10" x14ac:dyDescent="0.2">
      <c r="A1446" s="2" t="s">
        <v>10</v>
      </c>
      <c r="B1446" s="3" t="str">
        <f t="shared" si="32"/>
        <v>France - HCP Survey Email - June 2025</v>
      </c>
      <c r="C1446" s="3" t="str">
        <f>HYPERLINK("https://otsuka-europe-crm.veevavault.com/ui/#object/sent_email__v/VBLZ025E82GNO2N", "SE-000273066")</f>
        <v>SE-000273066</v>
      </c>
      <c r="D1446" s="4" t="s">
        <v>11</v>
      </c>
      <c r="E1446" s="5">
        <v>0</v>
      </c>
      <c r="F1446" s="5">
        <v>0</v>
      </c>
      <c r="G1446" s="5">
        <v>0</v>
      </c>
      <c r="H1446" s="4" t="s">
        <v>11</v>
      </c>
      <c r="I1446" s="5">
        <v>0</v>
      </c>
      <c r="J1446" s="4">
        <v>45916.294594907406</v>
      </c>
    </row>
    <row r="1447" spans="1:10" x14ac:dyDescent="0.2">
      <c r="A1447" s="2" t="s">
        <v>10</v>
      </c>
      <c r="B1447" s="3" t="str">
        <f t="shared" si="32"/>
        <v>France - HCP Survey Email - June 2025</v>
      </c>
      <c r="C1447" s="3" t="str">
        <f>HYPERLINK("https://otsuka-europe-crm.veevavault.com/ui/#object/sent_email__v/VBLZ025E82GNO2O", "SE-000273067")</f>
        <v>SE-000273067</v>
      </c>
      <c r="D1447" s="4" t="s">
        <v>11</v>
      </c>
      <c r="E1447" s="5">
        <v>0</v>
      </c>
      <c r="F1447" s="5">
        <v>0</v>
      </c>
      <c r="G1447" s="5">
        <v>0</v>
      </c>
      <c r="H1447" s="4" t="s">
        <v>11</v>
      </c>
      <c r="I1447" s="5">
        <v>0</v>
      </c>
      <c r="J1447" s="4">
        <v>45916.294409722221</v>
      </c>
    </row>
    <row r="1448" spans="1:10" x14ac:dyDescent="0.2">
      <c r="A1448" s="2" t="s">
        <v>10</v>
      </c>
      <c r="B1448" s="3" t="str">
        <f t="shared" si="32"/>
        <v>France - HCP Survey Email - June 2025</v>
      </c>
      <c r="C1448" s="3" t="str">
        <f>HYPERLINK("https://otsuka-europe-crm.veevavault.com/ui/#object/sent_email__v/VBLZ025E82GNO2P", "SE-000273068")</f>
        <v>SE-000273068</v>
      </c>
      <c r="D1448" s="4" t="s">
        <v>11</v>
      </c>
      <c r="E1448" s="5">
        <v>0</v>
      </c>
      <c r="F1448" s="5">
        <v>0</v>
      </c>
      <c r="G1448" s="5">
        <v>0</v>
      </c>
      <c r="H1448" s="4" t="s">
        <v>11</v>
      </c>
      <c r="I1448" s="5">
        <v>0</v>
      </c>
      <c r="J1448" s="4">
        <v>45916.294259259259</v>
      </c>
    </row>
    <row r="1449" spans="1:10" x14ac:dyDescent="0.2">
      <c r="A1449" s="2" t="s">
        <v>10</v>
      </c>
      <c r="B1449" s="3" t="str">
        <f t="shared" si="32"/>
        <v>France - HCP Survey Email - June 2025</v>
      </c>
      <c r="C1449" s="3" t="str">
        <f>HYPERLINK("https://otsuka-europe-crm.veevavault.com/ui/#object/sent_email__v/VBLZ025E82GNO2Q", "SE-000273069")</f>
        <v>SE-000273069</v>
      </c>
      <c r="D1449" s="4" t="s">
        <v>11</v>
      </c>
      <c r="E1449" s="5">
        <v>0</v>
      </c>
      <c r="F1449" s="5">
        <v>0</v>
      </c>
      <c r="G1449" s="5">
        <v>0</v>
      </c>
      <c r="H1449" s="4" t="s">
        <v>11</v>
      </c>
      <c r="I1449" s="5">
        <v>0</v>
      </c>
      <c r="J1449" s="4">
        <v>45916.294930555552</v>
      </c>
    </row>
    <row r="1450" spans="1:10" x14ac:dyDescent="0.2">
      <c r="A1450" s="2" t="s">
        <v>10</v>
      </c>
      <c r="B1450" s="3" t="str">
        <f t="shared" si="32"/>
        <v>France - HCP Survey Email - June 2025</v>
      </c>
      <c r="C1450" s="3" t="str">
        <f>HYPERLINK("https://otsuka-europe-crm.veevavault.com/ui/#object/sent_email__v/VBLZ025E82GNO2R", "SE-000273070")</f>
        <v>SE-000273070</v>
      </c>
      <c r="D1450" s="4" t="s">
        <v>11</v>
      </c>
      <c r="E1450" s="5">
        <v>0</v>
      </c>
      <c r="F1450" s="5">
        <v>0</v>
      </c>
      <c r="G1450" s="5">
        <v>0</v>
      </c>
      <c r="H1450" s="4" t="s">
        <v>11</v>
      </c>
      <c r="I1450" s="5">
        <v>0</v>
      </c>
      <c r="J1450" s="4">
        <v>45916.294618055559</v>
      </c>
    </row>
    <row r="1451" spans="1:10" x14ac:dyDescent="0.2">
      <c r="A1451" s="2" t="s">
        <v>10</v>
      </c>
      <c r="B1451" s="3" t="str">
        <f t="shared" si="32"/>
        <v>France - HCP Survey Email - June 2025</v>
      </c>
      <c r="C1451" s="3" t="str">
        <f>HYPERLINK("https://otsuka-europe-crm.veevavault.com/ui/#object/sent_email__v/VBLZ025E82GNO2S", "SE-000273071")</f>
        <v>SE-000273071</v>
      </c>
      <c r="D1451" s="4" t="s">
        <v>11</v>
      </c>
      <c r="E1451" s="5">
        <v>0</v>
      </c>
      <c r="F1451" s="5">
        <v>0</v>
      </c>
      <c r="G1451" s="5">
        <v>0</v>
      </c>
      <c r="H1451" s="4" t="s">
        <v>11</v>
      </c>
      <c r="I1451" s="5">
        <v>0</v>
      </c>
      <c r="J1451" s="4">
        <v>45916.294259259259</v>
      </c>
    </row>
    <row r="1452" spans="1:10" x14ac:dyDescent="0.2">
      <c r="A1452" s="2" t="s">
        <v>10</v>
      </c>
      <c r="B1452" s="3" t="str">
        <f t="shared" si="32"/>
        <v>France - HCP Survey Email - June 2025</v>
      </c>
      <c r="C1452" s="3" t="str">
        <f>HYPERLINK("https://otsuka-europe-crm.veevavault.com/ui/#object/sent_email__v/VBLZ025E82GNO2T", "SE-000273072")</f>
        <v>SE-000273072</v>
      </c>
      <c r="D1452" s="4" t="s">
        <v>11</v>
      </c>
      <c r="E1452" s="5">
        <v>0</v>
      </c>
      <c r="F1452" s="5">
        <v>0</v>
      </c>
      <c r="G1452" s="5">
        <v>0</v>
      </c>
      <c r="H1452" s="4" t="s">
        <v>11</v>
      </c>
      <c r="I1452" s="5">
        <v>0</v>
      </c>
      <c r="J1452" s="4">
        <v>45916.295046296298</v>
      </c>
    </row>
    <row r="1453" spans="1:10" x14ac:dyDescent="0.2">
      <c r="A1453" s="2" t="s">
        <v>10</v>
      </c>
      <c r="B1453" s="3" t="str">
        <f t="shared" si="32"/>
        <v>France - HCP Survey Email - June 2025</v>
      </c>
      <c r="C1453" s="3" t="str">
        <f>HYPERLINK("https://otsuka-europe-crm.veevavault.com/ui/#object/sent_email__v/VBLZ025E82GNO2U", "SE-000273073")</f>
        <v>SE-000273073</v>
      </c>
      <c r="D1453" s="4">
        <v>45918.304143518515</v>
      </c>
      <c r="E1453" s="5">
        <v>1</v>
      </c>
      <c r="F1453" s="5">
        <v>2</v>
      </c>
      <c r="G1453" s="5">
        <v>0</v>
      </c>
      <c r="H1453" s="4" t="s">
        <v>11</v>
      </c>
      <c r="I1453" s="5">
        <v>0</v>
      </c>
      <c r="J1453" s="4">
        <v>45916.294791666667</v>
      </c>
    </row>
    <row r="1454" spans="1:10" x14ac:dyDescent="0.2">
      <c r="A1454" s="2" t="s">
        <v>10</v>
      </c>
      <c r="B1454" s="3" t="str">
        <f t="shared" si="32"/>
        <v>France - HCP Survey Email - June 2025</v>
      </c>
      <c r="C1454" s="3" t="str">
        <f>HYPERLINK("https://otsuka-europe-crm.veevavault.com/ui/#object/sent_email__v/VBLZ025E82GNO2V", "SE-000273074")</f>
        <v>SE-000273074</v>
      </c>
      <c r="D1454" s="4" t="s">
        <v>11</v>
      </c>
      <c r="E1454" s="5">
        <v>0</v>
      </c>
      <c r="F1454" s="5">
        <v>0</v>
      </c>
      <c r="G1454" s="5">
        <v>0</v>
      </c>
      <c r="H1454" s="4" t="s">
        <v>11</v>
      </c>
      <c r="I1454" s="5">
        <v>0</v>
      </c>
      <c r="J1454" s="4">
        <v>45916.294606481482</v>
      </c>
    </row>
    <row r="1455" spans="1:10" x14ac:dyDescent="0.2">
      <c r="A1455" s="2" t="s">
        <v>10</v>
      </c>
      <c r="B1455" s="3" t="str">
        <f t="shared" si="32"/>
        <v>France - HCP Survey Email - June 2025</v>
      </c>
      <c r="C1455" s="3" t="str">
        <f>HYPERLINK("https://otsuka-europe-crm.veevavault.com/ui/#object/sent_email__v/VBLZ025E82GNO2W", "SE-000273075")</f>
        <v>SE-000273075</v>
      </c>
      <c r="D1455" s="4" t="s">
        <v>11</v>
      </c>
      <c r="E1455" s="5">
        <v>0</v>
      </c>
      <c r="F1455" s="5">
        <v>0</v>
      </c>
      <c r="G1455" s="5">
        <v>0</v>
      </c>
      <c r="H1455" s="4" t="s">
        <v>11</v>
      </c>
      <c r="I1455" s="5">
        <v>0</v>
      </c>
      <c r="J1455" s="4">
        <v>45916.294270833336</v>
      </c>
    </row>
    <row r="1456" spans="1:10" x14ac:dyDescent="0.2">
      <c r="A1456" s="2" t="s">
        <v>10</v>
      </c>
      <c r="B1456" s="3" t="str">
        <f t="shared" si="32"/>
        <v>France - HCP Survey Email - June 2025</v>
      </c>
      <c r="C1456" s="3" t="str">
        <f>HYPERLINK("https://otsuka-europe-crm.veevavault.com/ui/#object/sent_email__v/VBLZ025E82GNO2X", "SE-000273076")</f>
        <v>SE-000273076</v>
      </c>
      <c r="D1456" s="4">
        <v>45916.963865740741</v>
      </c>
      <c r="E1456" s="5">
        <v>1</v>
      </c>
      <c r="F1456" s="5">
        <v>1</v>
      </c>
      <c r="G1456" s="5">
        <v>0</v>
      </c>
      <c r="H1456" s="4" t="s">
        <v>11</v>
      </c>
      <c r="I1456" s="5">
        <v>0</v>
      </c>
      <c r="J1456" s="4">
        <v>45916.295034722221</v>
      </c>
    </row>
    <row r="1457" spans="1:10" x14ac:dyDescent="0.2">
      <c r="A1457" s="2" t="s">
        <v>10</v>
      </c>
      <c r="B1457" s="3" t="str">
        <f t="shared" si="32"/>
        <v>France - HCP Survey Email - June 2025</v>
      </c>
      <c r="C1457" s="3" t="str">
        <f>HYPERLINK("https://otsuka-europe-crm.veevavault.com/ui/#object/sent_email__v/VBLZ025E82GNO2Y", "SE-000273077")</f>
        <v>SE-000273077</v>
      </c>
      <c r="D1457" s="4" t="s">
        <v>11</v>
      </c>
      <c r="E1457" s="5">
        <v>0</v>
      </c>
      <c r="F1457" s="5">
        <v>0</v>
      </c>
      <c r="G1457" s="5">
        <v>0</v>
      </c>
      <c r="H1457" s="4" t="s">
        <v>11</v>
      </c>
      <c r="I1457" s="5">
        <v>0</v>
      </c>
      <c r="J1457" s="4">
        <v>45916.294675925928</v>
      </c>
    </row>
    <row r="1458" spans="1:10" x14ac:dyDescent="0.2">
      <c r="A1458" s="2" t="s">
        <v>10</v>
      </c>
      <c r="B1458" s="3" t="str">
        <f t="shared" si="32"/>
        <v>France - HCP Survey Email - June 2025</v>
      </c>
      <c r="C1458" s="3" t="str">
        <f>HYPERLINK("https://otsuka-europe-crm.veevavault.com/ui/#object/sent_email__v/VBLZ025E82GNO2Z", "SE-000273078")</f>
        <v>SE-000273078</v>
      </c>
      <c r="D1458" s="4" t="s">
        <v>11</v>
      </c>
      <c r="E1458" s="5">
        <v>0</v>
      </c>
      <c r="F1458" s="5">
        <v>0</v>
      </c>
      <c r="G1458" s="5">
        <v>0</v>
      </c>
      <c r="H1458" s="4" t="s">
        <v>11</v>
      </c>
      <c r="I1458" s="5">
        <v>0</v>
      </c>
      <c r="J1458" s="4">
        <v>45916.294537037036</v>
      </c>
    </row>
    <row r="1459" spans="1:10" x14ac:dyDescent="0.2">
      <c r="A1459" s="2" t="s">
        <v>10</v>
      </c>
      <c r="B1459" s="3" t="str">
        <f t="shared" si="32"/>
        <v>France - HCP Survey Email - June 2025</v>
      </c>
      <c r="C1459" s="3" t="str">
        <f>HYPERLINK("https://otsuka-europe-crm.veevavault.com/ui/#object/sent_email__v/VBLZ025E82GNO30", "SE-000273079")</f>
        <v>SE-000273079</v>
      </c>
      <c r="D1459" s="4" t="s">
        <v>11</v>
      </c>
      <c r="E1459" s="5">
        <v>0</v>
      </c>
      <c r="F1459" s="5">
        <v>0</v>
      </c>
      <c r="G1459" s="5">
        <v>0</v>
      </c>
      <c r="H1459" s="4" t="s">
        <v>11</v>
      </c>
      <c r="I1459" s="5">
        <v>0</v>
      </c>
      <c r="J1459" s="4">
        <v>45916.294374999998</v>
      </c>
    </row>
    <row r="1460" spans="1:10" x14ac:dyDescent="0.2">
      <c r="A1460" s="2" t="s">
        <v>10</v>
      </c>
      <c r="B1460" s="3" t="str">
        <f t="shared" si="32"/>
        <v>France - HCP Survey Email - June 2025</v>
      </c>
      <c r="C1460" s="3" t="str">
        <f>HYPERLINK("https://otsuka-europe-crm.veevavault.com/ui/#object/sent_email__v/VBLZ025E82GNO32", "SE-000273081")</f>
        <v>SE-000273081</v>
      </c>
      <c r="D1460" s="4">
        <v>45916.305706018517</v>
      </c>
      <c r="E1460" s="5">
        <v>1</v>
      </c>
      <c r="F1460" s="5">
        <v>1</v>
      </c>
      <c r="G1460" s="5">
        <v>0</v>
      </c>
      <c r="H1460" s="4" t="s">
        <v>11</v>
      </c>
      <c r="I1460" s="5">
        <v>0</v>
      </c>
      <c r="J1460" s="4">
        <v>45916.294618055559</v>
      </c>
    </row>
    <row r="1461" spans="1:10" x14ac:dyDescent="0.2">
      <c r="A1461" s="2" t="s">
        <v>10</v>
      </c>
      <c r="B1461" s="3" t="str">
        <f t="shared" si="32"/>
        <v>France - HCP Survey Email - June 2025</v>
      </c>
      <c r="C1461" s="3" t="str">
        <f>HYPERLINK("https://otsuka-europe-crm.veevavault.com/ui/#object/sent_email__v/VBLZ025E82GNO34", "SE-000273083")</f>
        <v>SE-000273083</v>
      </c>
      <c r="D1461" s="4" t="s">
        <v>11</v>
      </c>
      <c r="E1461" s="5">
        <v>0</v>
      </c>
      <c r="F1461" s="5">
        <v>0</v>
      </c>
      <c r="G1461" s="5">
        <v>0</v>
      </c>
      <c r="H1461" s="4" t="s">
        <v>11</v>
      </c>
      <c r="I1461" s="5">
        <v>0</v>
      </c>
      <c r="J1461" s="4">
        <v>45916.29420138889</v>
      </c>
    </row>
    <row r="1462" spans="1:10" x14ac:dyDescent="0.2">
      <c r="A1462" s="2" t="s">
        <v>10</v>
      </c>
      <c r="B1462" s="3" t="str">
        <f t="shared" si="32"/>
        <v>France - HCP Survey Email - June 2025</v>
      </c>
      <c r="C1462" s="3" t="str">
        <f>HYPERLINK("https://otsuka-europe-crm.veevavault.com/ui/#object/sent_email__v/VBLZ025E82GNO35", "SE-000273084")</f>
        <v>SE-000273084</v>
      </c>
      <c r="D1462" s="4" t="s">
        <v>11</v>
      </c>
      <c r="E1462" s="5">
        <v>0</v>
      </c>
      <c r="F1462" s="5">
        <v>0</v>
      </c>
      <c r="G1462" s="5">
        <v>0</v>
      </c>
      <c r="H1462" s="4" t="s">
        <v>11</v>
      </c>
      <c r="I1462" s="5">
        <v>0</v>
      </c>
      <c r="J1462" s="4">
        <v>45916.294895833336</v>
      </c>
    </row>
    <row r="1463" spans="1:10" x14ac:dyDescent="0.2">
      <c r="A1463" s="2" t="s">
        <v>10</v>
      </c>
      <c r="B1463" s="3" t="str">
        <f t="shared" si="32"/>
        <v>France - HCP Survey Email - June 2025</v>
      </c>
      <c r="C1463" s="3" t="str">
        <f>HYPERLINK("https://otsuka-europe-crm.veevavault.com/ui/#object/sent_email__v/VBLZ025E82GNO36", "SE-000273085")</f>
        <v>SE-000273085</v>
      </c>
      <c r="D1463" s="4" t="s">
        <v>11</v>
      </c>
      <c r="E1463" s="5">
        <v>0</v>
      </c>
      <c r="F1463" s="5">
        <v>0</v>
      </c>
      <c r="G1463" s="5">
        <v>0</v>
      </c>
      <c r="H1463" s="4" t="s">
        <v>11</v>
      </c>
      <c r="I1463" s="5">
        <v>0</v>
      </c>
      <c r="J1463" s="4">
        <v>45916.294594907406</v>
      </c>
    </row>
    <row r="1464" spans="1:10" x14ac:dyDescent="0.2">
      <c r="A1464" s="2" t="s">
        <v>10</v>
      </c>
      <c r="B1464" s="3" t="str">
        <f t="shared" si="32"/>
        <v>France - HCP Survey Email - June 2025</v>
      </c>
      <c r="C1464" s="3" t="str">
        <f>HYPERLINK("https://otsuka-europe-crm.veevavault.com/ui/#object/sent_email__v/VBLZ025E82GNO37", "SE-000273086")</f>
        <v>SE-000273086</v>
      </c>
      <c r="D1464" s="4" t="s">
        <v>11</v>
      </c>
      <c r="E1464" s="5">
        <v>0</v>
      </c>
      <c r="F1464" s="5">
        <v>0</v>
      </c>
      <c r="G1464" s="5">
        <v>0</v>
      </c>
      <c r="H1464" s="4" t="s">
        <v>11</v>
      </c>
      <c r="I1464" s="5">
        <v>0</v>
      </c>
      <c r="J1464" s="4">
        <v>45916.294236111113</v>
      </c>
    </row>
    <row r="1465" spans="1:10" x14ac:dyDescent="0.2">
      <c r="A1465" s="2" t="s">
        <v>10</v>
      </c>
      <c r="B1465" s="3" t="str">
        <f t="shared" si="32"/>
        <v>France - HCP Survey Email - June 2025</v>
      </c>
      <c r="C1465" s="3" t="str">
        <f>HYPERLINK("https://otsuka-europe-crm.veevavault.com/ui/#object/sent_email__v/VBLZ025E82GNO38", "SE-000273087")</f>
        <v>SE-000273087</v>
      </c>
      <c r="D1465" s="4">
        <v>45916.321631944447</v>
      </c>
      <c r="E1465" s="5">
        <v>1</v>
      </c>
      <c r="F1465" s="5">
        <v>1</v>
      </c>
      <c r="G1465" s="5">
        <v>1</v>
      </c>
      <c r="H1465" s="4">
        <v>45916.321921296294</v>
      </c>
      <c r="I1465" s="5">
        <v>1</v>
      </c>
      <c r="J1465" s="4">
        <v>45916.295023148145</v>
      </c>
    </row>
    <row r="1466" spans="1:10" x14ac:dyDescent="0.2">
      <c r="A1466" s="2" t="s">
        <v>10</v>
      </c>
      <c r="B1466" s="3" t="str">
        <f t="shared" si="32"/>
        <v>France - HCP Survey Email - June 2025</v>
      </c>
      <c r="C1466" s="3" t="str">
        <f>HYPERLINK("https://otsuka-europe-crm.veevavault.com/ui/#object/sent_email__v/VBLZ025E82GNO39", "SE-000273088")</f>
        <v>SE-000273088</v>
      </c>
      <c r="D1466" s="4">
        <v>45916.295972222222</v>
      </c>
      <c r="E1466" s="5">
        <v>1</v>
      </c>
      <c r="F1466" s="5">
        <v>1</v>
      </c>
      <c r="G1466" s="5">
        <v>0</v>
      </c>
      <c r="H1466" s="4" t="s">
        <v>11</v>
      </c>
      <c r="I1466" s="5">
        <v>0</v>
      </c>
      <c r="J1466" s="4">
        <v>45916.294699074075</v>
      </c>
    </row>
    <row r="1467" spans="1:10" x14ac:dyDescent="0.2">
      <c r="A1467" s="2" t="s">
        <v>10</v>
      </c>
      <c r="B1467" s="3" t="str">
        <f t="shared" si="32"/>
        <v>France - HCP Survey Email - June 2025</v>
      </c>
      <c r="C1467" s="3" t="str">
        <f>HYPERLINK("https://otsuka-europe-crm.veevavault.com/ui/#object/sent_email__v/VBLZ025E82GNO3A", "SE-000273089")</f>
        <v>SE-000273089</v>
      </c>
      <c r="D1467" s="4" t="s">
        <v>11</v>
      </c>
      <c r="E1467" s="5">
        <v>0</v>
      </c>
      <c r="F1467" s="5">
        <v>0</v>
      </c>
      <c r="G1467" s="5">
        <v>0</v>
      </c>
      <c r="H1467" s="4" t="s">
        <v>11</v>
      </c>
      <c r="I1467" s="5">
        <v>0</v>
      </c>
      <c r="J1467" s="4">
        <v>45916.294560185182</v>
      </c>
    </row>
    <row r="1468" spans="1:10" x14ac:dyDescent="0.2">
      <c r="A1468" s="2" t="s">
        <v>10</v>
      </c>
      <c r="B1468" s="3" t="str">
        <f t="shared" si="32"/>
        <v>France - HCP Survey Email - June 2025</v>
      </c>
      <c r="C1468" s="3" t="str">
        <f>HYPERLINK("https://otsuka-europe-crm.veevavault.com/ui/#object/sent_email__v/VBLZ025E82GNO3B", "SE-000273090")</f>
        <v>SE-000273090</v>
      </c>
      <c r="D1468" s="4" t="s">
        <v>11</v>
      </c>
      <c r="E1468" s="5">
        <v>0</v>
      </c>
      <c r="F1468" s="5">
        <v>0</v>
      </c>
      <c r="G1468" s="5">
        <v>0</v>
      </c>
      <c r="H1468" s="4" t="s">
        <v>11</v>
      </c>
      <c r="I1468" s="5">
        <v>0</v>
      </c>
      <c r="J1468" s="4">
        <v>45916.294259259259</v>
      </c>
    </row>
    <row r="1469" spans="1:10" x14ac:dyDescent="0.2">
      <c r="A1469" s="2" t="s">
        <v>10</v>
      </c>
      <c r="B1469" s="3" t="str">
        <f t="shared" si="32"/>
        <v>France - HCP Survey Email - June 2025</v>
      </c>
      <c r="C1469" s="3" t="str">
        <f>HYPERLINK("https://otsuka-europe-crm.veevavault.com/ui/#object/sent_email__v/VBLZ025E82GNO3C", "SE-000273091")</f>
        <v>SE-000273091</v>
      </c>
      <c r="D1469" s="4" t="s">
        <v>11</v>
      </c>
      <c r="E1469" s="5">
        <v>0</v>
      </c>
      <c r="F1469" s="5">
        <v>0</v>
      </c>
      <c r="G1469" s="5">
        <v>0</v>
      </c>
      <c r="H1469" s="4" t="s">
        <v>11</v>
      </c>
      <c r="I1469" s="5">
        <v>0</v>
      </c>
      <c r="J1469" s="4">
        <v>45916.295069444444</v>
      </c>
    </row>
    <row r="1470" spans="1:10" x14ac:dyDescent="0.2">
      <c r="A1470" s="2" t="s">
        <v>10</v>
      </c>
      <c r="B1470" s="3" t="str">
        <f t="shared" si="32"/>
        <v>France - HCP Survey Email - June 2025</v>
      </c>
      <c r="C1470" s="3" t="str">
        <f>HYPERLINK("https://otsuka-europe-crm.veevavault.com/ui/#object/sent_email__v/VBLZ025E82GNO3F", "SE-000273094")</f>
        <v>SE-000273094</v>
      </c>
      <c r="D1470" s="4" t="s">
        <v>11</v>
      </c>
      <c r="E1470" s="5">
        <v>0</v>
      </c>
      <c r="F1470" s="5">
        <v>0</v>
      </c>
      <c r="G1470" s="5">
        <v>0</v>
      </c>
      <c r="H1470" s="4" t="s">
        <v>11</v>
      </c>
      <c r="I1470" s="5">
        <v>0</v>
      </c>
      <c r="J1470" s="4">
        <v>45916.294305555559</v>
      </c>
    </row>
    <row r="1471" spans="1:10" x14ac:dyDescent="0.2">
      <c r="A1471" s="2" t="s">
        <v>10</v>
      </c>
      <c r="B1471" s="3" t="str">
        <f t="shared" si="32"/>
        <v>France - HCP Survey Email - June 2025</v>
      </c>
      <c r="C1471" s="3" t="str">
        <f>HYPERLINK("https://otsuka-europe-crm.veevavault.com/ui/#object/sent_email__v/VBLZ025E82GNO3G", "SE-000273095")</f>
        <v>SE-000273095</v>
      </c>
      <c r="D1471" s="4" t="s">
        <v>11</v>
      </c>
      <c r="E1471" s="5">
        <v>0</v>
      </c>
      <c r="F1471" s="5">
        <v>0</v>
      </c>
      <c r="G1471" s="5">
        <v>0</v>
      </c>
      <c r="H1471" s="4" t="s">
        <v>11</v>
      </c>
      <c r="I1471" s="5">
        <v>0</v>
      </c>
      <c r="J1471" s="4">
        <v>45916.294942129629</v>
      </c>
    </row>
    <row r="1472" spans="1:10" x14ac:dyDescent="0.2">
      <c r="A1472" s="2" t="s">
        <v>10</v>
      </c>
      <c r="B1472" s="3" t="str">
        <f t="shared" si="32"/>
        <v>France - HCP Survey Email - June 2025</v>
      </c>
      <c r="C1472" s="3" t="str">
        <f>HYPERLINK("https://otsuka-europe-crm.veevavault.com/ui/#object/sent_email__v/VBLZ025E82GNO3H", "SE-000273096")</f>
        <v>SE-000273096</v>
      </c>
      <c r="D1472" s="4" t="s">
        <v>11</v>
      </c>
      <c r="E1472" s="5">
        <v>0</v>
      </c>
      <c r="F1472" s="5">
        <v>0</v>
      </c>
      <c r="G1472" s="5">
        <v>0</v>
      </c>
      <c r="H1472" s="4" t="s">
        <v>11</v>
      </c>
      <c r="I1472" s="5">
        <v>0</v>
      </c>
      <c r="J1472" s="4">
        <v>45916.294664351852</v>
      </c>
    </row>
    <row r="1473" spans="1:10" x14ac:dyDescent="0.2">
      <c r="A1473" s="2" t="s">
        <v>10</v>
      </c>
      <c r="B1473" s="3" t="str">
        <f t="shared" ref="B1473:B1536" si="33">HYPERLINK("https://otsuka-europe-crm.veevavault.com/ui/#object/approved_document__v/V5OZ025E82TMV97", "France - HCP Survey Email - June 2025")</f>
        <v>France - HCP Survey Email - June 2025</v>
      </c>
      <c r="C1473" s="3" t="str">
        <f>HYPERLINK("https://otsuka-europe-crm.veevavault.com/ui/#object/sent_email__v/VBLZ025E82GNO3I", "SE-000273097")</f>
        <v>SE-000273097</v>
      </c>
      <c r="D1473" s="4">
        <v>45918.468472222223</v>
      </c>
      <c r="E1473" s="5">
        <v>1</v>
      </c>
      <c r="F1473" s="5">
        <v>1</v>
      </c>
      <c r="G1473" s="5">
        <v>1</v>
      </c>
      <c r="H1473" s="4">
        <v>45918.468472222223</v>
      </c>
      <c r="I1473" s="5">
        <v>1</v>
      </c>
      <c r="J1473" s="4">
        <v>45916.294282407405</v>
      </c>
    </row>
    <row r="1474" spans="1:10" x14ac:dyDescent="0.2">
      <c r="A1474" s="2" t="s">
        <v>10</v>
      </c>
      <c r="B1474" s="3" t="str">
        <f t="shared" si="33"/>
        <v>France - HCP Survey Email - June 2025</v>
      </c>
      <c r="C1474" s="3" t="str">
        <f>HYPERLINK("https://otsuka-europe-crm.veevavault.com/ui/#object/sent_email__v/VBLZ025E82GNO3J", "SE-000273098")</f>
        <v>SE-000273098</v>
      </c>
      <c r="D1474" s="4" t="s">
        <v>11</v>
      </c>
      <c r="E1474" s="5">
        <v>0</v>
      </c>
      <c r="F1474" s="5">
        <v>0</v>
      </c>
      <c r="G1474" s="5">
        <v>0</v>
      </c>
      <c r="H1474" s="4" t="s">
        <v>11</v>
      </c>
      <c r="I1474" s="5">
        <v>0</v>
      </c>
      <c r="J1474" s="4">
        <v>45916.294918981483</v>
      </c>
    </row>
    <row r="1475" spans="1:10" x14ac:dyDescent="0.2">
      <c r="A1475" s="2" t="s">
        <v>10</v>
      </c>
      <c r="B1475" s="3" t="str">
        <f t="shared" si="33"/>
        <v>France - HCP Survey Email - June 2025</v>
      </c>
      <c r="C1475" s="3" t="str">
        <f>HYPERLINK("https://otsuka-europe-crm.veevavault.com/ui/#object/sent_email__v/VBLZ025E82GNO3K", "SE-000273099")</f>
        <v>SE-000273099</v>
      </c>
      <c r="D1475" s="4">
        <v>45916.430844907409</v>
      </c>
      <c r="E1475" s="5">
        <v>1</v>
      </c>
      <c r="F1475" s="5">
        <v>1</v>
      </c>
      <c r="G1475" s="5">
        <v>0</v>
      </c>
      <c r="H1475" s="4" t="s">
        <v>11</v>
      </c>
      <c r="I1475" s="5">
        <v>0</v>
      </c>
      <c r="J1475" s="4">
        <v>45916.294641203705</v>
      </c>
    </row>
    <row r="1476" spans="1:10" x14ac:dyDescent="0.2">
      <c r="A1476" s="2" t="s">
        <v>10</v>
      </c>
      <c r="B1476" s="3" t="str">
        <f t="shared" si="33"/>
        <v>France - HCP Survey Email - June 2025</v>
      </c>
      <c r="C1476" s="3" t="str">
        <f>HYPERLINK("https://otsuka-europe-crm.veevavault.com/ui/#object/sent_email__v/VBLZ025E82GNO3L", "SE-000273100")</f>
        <v>SE-000273100</v>
      </c>
      <c r="D1476" s="4" t="s">
        <v>11</v>
      </c>
      <c r="E1476" s="5">
        <v>0</v>
      </c>
      <c r="F1476" s="5">
        <v>0</v>
      </c>
      <c r="G1476" s="5">
        <v>0</v>
      </c>
      <c r="H1476" s="4" t="s">
        <v>11</v>
      </c>
      <c r="I1476" s="5">
        <v>0</v>
      </c>
      <c r="J1476" s="4">
        <v>45916.294594907406</v>
      </c>
    </row>
    <row r="1477" spans="1:10" x14ac:dyDescent="0.2">
      <c r="A1477" s="2" t="s">
        <v>10</v>
      </c>
      <c r="B1477" s="3" t="str">
        <f t="shared" si="33"/>
        <v>France - HCP Survey Email - June 2025</v>
      </c>
      <c r="C1477" s="3" t="str">
        <f>HYPERLINK("https://otsuka-europe-crm.veevavault.com/ui/#object/sent_email__v/VBLZ025E82GNO3M", "SE-000273101")</f>
        <v>SE-000273101</v>
      </c>
      <c r="D1477" s="4" t="s">
        <v>11</v>
      </c>
      <c r="E1477" s="5">
        <v>0</v>
      </c>
      <c r="F1477" s="5">
        <v>0</v>
      </c>
      <c r="G1477" s="5">
        <v>0</v>
      </c>
      <c r="H1477" s="4" t="s">
        <v>11</v>
      </c>
      <c r="I1477" s="5">
        <v>0</v>
      </c>
      <c r="J1477" s="4">
        <v>45916.294293981482</v>
      </c>
    </row>
    <row r="1478" spans="1:10" x14ac:dyDescent="0.2">
      <c r="A1478" s="2" t="s">
        <v>10</v>
      </c>
      <c r="B1478" s="3" t="str">
        <f t="shared" si="33"/>
        <v>France - HCP Survey Email - June 2025</v>
      </c>
      <c r="C1478" s="3" t="str">
        <f>HYPERLINK("https://otsuka-europe-crm.veevavault.com/ui/#object/sent_email__v/VBLZ025E82GNO3N", "SE-000273102")</f>
        <v>SE-000273102</v>
      </c>
      <c r="D1478" s="4" t="s">
        <v>11</v>
      </c>
      <c r="E1478" s="5">
        <v>0</v>
      </c>
      <c r="F1478" s="5">
        <v>0</v>
      </c>
      <c r="G1478" s="5">
        <v>0</v>
      </c>
      <c r="H1478" s="4" t="s">
        <v>11</v>
      </c>
      <c r="I1478" s="5">
        <v>0</v>
      </c>
      <c r="J1478" s="4">
        <v>45916.294861111113</v>
      </c>
    </row>
    <row r="1479" spans="1:10" x14ac:dyDescent="0.2">
      <c r="A1479" s="2" t="s">
        <v>10</v>
      </c>
      <c r="B1479" s="3" t="str">
        <f t="shared" si="33"/>
        <v>France - HCP Survey Email - June 2025</v>
      </c>
      <c r="C1479" s="3" t="str">
        <f>HYPERLINK("https://otsuka-europe-crm.veevavault.com/ui/#object/sent_email__v/VBLZ025E82GNO3P", "SE-000273104")</f>
        <v>SE-000273104</v>
      </c>
      <c r="D1479" s="4" t="s">
        <v>11</v>
      </c>
      <c r="E1479" s="5">
        <v>0</v>
      </c>
      <c r="F1479" s="5">
        <v>0</v>
      </c>
      <c r="G1479" s="5">
        <v>0</v>
      </c>
      <c r="H1479" s="4" t="s">
        <v>11</v>
      </c>
      <c r="I1479" s="5">
        <v>0</v>
      </c>
      <c r="J1479" s="4">
        <v>45915.422326388885</v>
      </c>
    </row>
    <row r="1480" spans="1:10" x14ac:dyDescent="0.2">
      <c r="A1480" s="2" t="s">
        <v>10</v>
      </c>
      <c r="B1480" s="3" t="str">
        <f t="shared" si="33"/>
        <v>France - HCP Survey Email - June 2025</v>
      </c>
      <c r="C1480" s="3" t="str">
        <f>HYPERLINK("https://otsuka-europe-crm.veevavault.com/ui/#object/sent_email__v/VBLZ025E82GNO3Q", "SE-000273105")</f>
        <v>SE-000273105</v>
      </c>
      <c r="D1480" s="4" t="s">
        <v>11</v>
      </c>
      <c r="E1480" s="5">
        <v>0</v>
      </c>
      <c r="F1480" s="5">
        <v>0</v>
      </c>
      <c r="G1480" s="5">
        <v>0</v>
      </c>
      <c r="H1480" s="4" t="s">
        <v>11</v>
      </c>
      <c r="I1480" s="5">
        <v>0</v>
      </c>
      <c r="J1480" s="4">
        <v>45916.294537037036</v>
      </c>
    </row>
    <row r="1481" spans="1:10" x14ac:dyDescent="0.2">
      <c r="A1481" s="2" t="s">
        <v>10</v>
      </c>
      <c r="B1481" s="3" t="str">
        <f t="shared" si="33"/>
        <v>France - HCP Survey Email - June 2025</v>
      </c>
      <c r="C1481" s="3" t="str">
        <f>HYPERLINK("https://otsuka-europe-crm.veevavault.com/ui/#object/sent_email__v/VBLZ025E82GNO3R", "SE-000273106")</f>
        <v>SE-000273106</v>
      </c>
      <c r="D1481" s="4" t="s">
        <v>11</v>
      </c>
      <c r="E1481" s="5">
        <v>0</v>
      </c>
      <c r="F1481" s="5">
        <v>0</v>
      </c>
      <c r="G1481" s="5">
        <v>0</v>
      </c>
      <c r="H1481" s="4" t="s">
        <v>11</v>
      </c>
      <c r="I1481" s="5">
        <v>0</v>
      </c>
      <c r="J1481" s="4">
        <v>45916.294340277775</v>
      </c>
    </row>
    <row r="1482" spans="1:10" x14ac:dyDescent="0.2">
      <c r="A1482" s="2" t="s">
        <v>10</v>
      </c>
      <c r="B1482" s="3" t="str">
        <f t="shared" si="33"/>
        <v>France - HCP Survey Email - June 2025</v>
      </c>
      <c r="C1482" s="3" t="str">
        <f>HYPERLINK("https://otsuka-europe-crm.veevavault.com/ui/#object/sent_email__v/VBLZ025E82GNO3S", "SE-000273107")</f>
        <v>SE-000273107</v>
      </c>
      <c r="D1482" s="4" t="s">
        <v>11</v>
      </c>
      <c r="E1482" s="5">
        <v>0</v>
      </c>
      <c r="F1482" s="5">
        <v>0</v>
      </c>
      <c r="G1482" s="5">
        <v>0</v>
      </c>
      <c r="H1482" s="4" t="s">
        <v>11</v>
      </c>
      <c r="I1482" s="5">
        <v>0</v>
      </c>
      <c r="J1482" s="4">
        <v>45916.294953703706</v>
      </c>
    </row>
    <row r="1483" spans="1:10" x14ac:dyDescent="0.2">
      <c r="A1483" s="2" t="s">
        <v>10</v>
      </c>
      <c r="B1483" s="3" t="str">
        <f t="shared" si="33"/>
        <v>France - HCP Survey Email - June 2025</v>
      </c>
      <c r="C1483" s="3" t="str">
        <f>HYPERLINK("https://otsuka-europe-crm.veevavault.com/ui/#object/sent_email__v/VBLZ025E82GNO3T", "SE-000273108")</f>
        <v>SE-000273108</v>
      </c>
      <c r="D1483" s="4">
        <v>45916.314039351855</v>
      </c>
      <c r="E1483" s="5">
        <v>1</v>
      </c>
      <c r="F1483" s="5">
        <v>1</v>
      </c>
      <c r="G1483" s="5">
        <v>0</v>
      </c>
      <c r="H1483" s="4" t="s">
        <v>11</v>
      </c>
      <c r="I1483" s="5">
        <v>0</v>
      </c>
      <c r="J1483" s="4">
        <v>45916.294594907406</v>
      </c>
    </row>
    <row r="1484" spans="1:10" x14ac:dyDescent="0.2">
      <c r="A1484" s="2" t="s">
        <v>10</v>
      </c>
      <c r="B1484" s="3" t="str">
        <f t="shared" si="33"/>
        <v>France - HCP Survey Email - June 2025</v>
      </c>
      <c r="C1484" s="3" t="str">
        <f>HYPERLINK("https://otsuka-europe-crm.veevavault.com/ui/#object/sent_email__v/VBLZ025E82GNO3U", "SE-000273109")</f>
        <v>SE-000273109</v>
      </c>
      <c r="D1484" s="4" t="s">
        <v>11</v>
      </c>
      <c r="E1484" s="5">
        <v>0</v>
      </c>
      <c r="F1484" s="5">
        <v>0</v>
      </c>
      <c r="G1484" s="5">
        <v>0</v>
      </c>
      <c r="H1484" s="4" t="s">
        <v>11</v>
      </c>
      <c r="I1484" s="5">
        <v>0</v>
      </c>
      <c r="J1484" s="4">
        <v>45916.294398148151</v>
      </c>
    </row>
    <row r="1485" spans="1:10" x14ac:dyDescent="0.2">
      <c r="A1485" s="2" t="s">
        <v>10</v>
      </c>
      <c r="B1485" s="3" t="str">
        <f t="shared" si="33"/>
        <v>France - HCP Survey Email - June 2025</v>
      </c>
      <c r="C1485" s="3" t="str">
        <f>HYPERLINK("https://otsuka-europe-crm.veevavault.com/ui/#object/sent_email__v/VBLZ025E82GNO3V", "SE-000273110")</f>
        <v>SE-000273110</v>
      </c>
      <c r="D1485" s="4" t="s">
        <v>11</v>
      </c>
      <c r="E1485" s="5">
        <v>0</v>
      </c>
      <c r="F1485" s="5">
        <v>0</v>
      </c>
      <c r="G1485" s="5">
        <v>0</v>
      </c>
      <c r="H1485" s="4" t="s">
        <v>11</v>
      </c>
      <c r="I1485" s="5">
        <v>0</v>
      </c>
      <c r="J1485" s="4">
        <v>45916.294317129628</v>
      </c>
    </row>
    <row r="1486" spans="1:10" x14ac:dyDescent="0.2">
      <c r="A1486" s="2" t="s">
        <v>10</v>
      </c>
      <c r="B1486" s="3" t="str">
        <f t="shared" si="33"/>
        <v>France - HCP Survey Email - June 2025</v>
      </c>
      <c r="C1486" s="3" t="str">
        <f>HYPERLINK("https://otsuka-europe-crm.veevavault.com/ui/#object/sent_email__v/VBLZ025E82GNO3W", "SE-000273111")</f>
        <v>SE-000273111</v>
      </c>
      <c r="D1486" s="4" t="s">
        <v>11</v>
      </c>
      <c r="E1486" s="5">
        <v>0</v>
      </c>
      <c r="F1486" s="5">
        <v>0</v>
      </c>
      <c r="G1486" s="5">
        <v>0</v>
      </c>
      <c r="H1486" s="4" t="s">
        <v>11</v>
      </c>
      <c r="I1486" s="5">
        <v>0</v>
      </c>
      <c r="J1486" s="4">
        <v>45916.29488425926</v>
      </c>
    </row>
    <row r="1487" spans="1:10" x14ac:dyDescent="0.2">
      <c r="A1487" s="2" t="s">
        <v>10</v>
      </c>
      <c r="B1487" s="3" t="str">
        <f t="shared" si="33"/>
        <v>France - HCP Survey Email - June 2025</v>
      </c>
      <c r="C1487" s="3" t="str">
        <f>HYPERLINK("https://otsuka-europe-crm.veevavault.com/ui/#object/sent_email__v/VBLZ025E82GNO3X", "SE-000273112")</f>
        <v>SE-000273112</v>
      </c>
      <c r="D1487" s="4" t="s">
        <v>11</v>
      </c>
      <c r="E1487" s="5">
        <v>0</v>
      </c>
      <c r="F1487" s="5">
        <v>0</v>
      </c>
      <c r="G1487" s="5">
        <v>0</v>
      </c>
      <c r="H1487" s="4" t="s">
        <v>11</v>
      </c>
      <c r="I1487" s="5">
        <v>0</v>
      </c>
      <c r="J1487" s="4">
        <v>45916.294479166667</v>
      </c>
    </row>
    <row r="1488" spans="1:10" x14ac:dyDescent="0.2">
      <c r="A1488" s="2" t="s">
        <v>10</v>
      </c>
      <c r="B1488" s="3" t="str">
        <f t="shared" si="33"/>
        <v>France - HCP Survey Email - June 2025</v>
      </c>
      <c r="C1488" s="3" t="str">
        <f>HYPERLINK("https://otsuka-europe-crm.veevavault.com/ui/#object/sent_email__v/VBLZ025E82GNO3Y", "SE-000273113")</f>
        <v>SE-000273113</v>
      </c>
      <c r="D1488" s="4" t="s">
        <v>11</v>
      </c>
      <c r="E1488" s="5">
        <v>0</v>
      </c>
      <c r="F1488" s="5">
        <v>0</v>
      </c>
      <c r="G1488" s="5">
        <v>0</v>
      </c>
      <c r="H1488" s="4" t="s">
        <v>11</v>
      </c>
      <c r="I1488" s="5">
        <v>0</v>
      </c>
      <c r="J1488" s="4">
        <v>45916.294293981482</v>
      </c>
    </row>
    <row r="1489" spans="1:10" x14ac:dyDescent="0.2">
      <c r="A1489" s="2" t="s">
        <v>10</v>
      </c>
      <c r="B1489" s="3" t="str">
        <f t="shared" si="33"/>
        <v>France - HCP Survey Email - June 2025</v>
      </c>
      <c r="C1489" s="3" t="str">
        <f>HYPERLINK("https://otsuka-europe-crm.veevavault.com/ui/#object/sent_email__v/VBLZ025E82GNO3Z", "SE-000273114")</f>
        <v>SE-000273114</v>
      </c>
      <c r="D1489" s="4">
        <v>45916.455694444441</v>
      </c>
      <c r="E1489" s="5">
        <v>1</v>
      </c>
      <c r="F1489" s="5">
        <v>3</v>
      </c>
      <c r="G1489" s="5">
        <v>1</v>
      </c>
      <c r="H1489" s="4">
        <v>45916.407557870371</v>
      </c>
      <c r="I1489" s="5">
        <v>1</v>
      </c>
      <c r="J1489" s="4">
        <v>45916.294861111113</v>
      </c>
    </row>
    <row r="1490" spans="1:10" x14ac:dyDescent="0.2">
      <c r="A1490" s="2" t="s">
        <v>10</v>
      </c>
      <c r="B1490" s="3" t="str">
        <f t="shared" si="33"/>
        <v>France - HCP Survey Email - June 2025</v>
      </c>
      <c r="C1490" s="3" t="str">
        <f>HYPERLINK("https://otsuka-europe-crm.veevavault.com/ui/#object/sent_email__v/VBLZ025E82GNO40", "SE-000273115")</f>
        <v>SE-000273115</v>
      </c>
      <c r="D1490" s="4" t="s">
        <v>11</v>
      </c>
      <c r="E1490" s="5">
        <v>0</v>
      </c>
      <c r="F1490" s="5">
        <v>0</v>
      </c>
      <c r="G1490" s="5">
        <v>0</v>
      </c>
      <c r="H1490" s="4" t="s">
        <v>11</v>
      </c>
      <c r="I1490" s="5">
        <v>0</v>
      </c>
      <c r="J1490" s="4">
        <v>45916.294872685183</v>
      </c>
    </row>
    <row r="1491" spans="1:10" x14ac:dyDescent="0.2">
      <c r="A1491" s="2" t="s">
        <v>10</v>
      </c>
      <c r="B1491" s="3" t="str">
        <f t="shared" si="33"/>
        <v>France - HCP Survey Email - June 2025</v>
      </c>
      <c r="C1491" s="3" t="str">
        <f>HYPERLINK("https://otsuka-europe-crm.veevavault.com/ui/#object/sent_email__v/VBLZ025E82GNO41", "SE-000273116")</f>
        <v>SE-000273116</v>
      </c>
      <c r="D1491" s="4" t="s">
        <v>11</v>
      </c>
      <c r="E1491" s="5">
        <v>0</v>
      </c>
      <c r="F1491" s="5">
        <v>0</v>
      </c>
      <c r="G1491" s="5">
        <v>0</v>
      </c>
      <c r="H1491" s="4" t="s">
        <v>11</v>
      </c>
      <c r="I1491" s="5">
        <v>0</v>
      </c>
      <c r="J1491" s="4">
        <v>45916.294583333336</v>
      </c>
    </row>
    <row r="1492" spans="1:10" x14ac:dyDescent="0.2">
      <c r="A1492" s="2" t="s">
        <v>10</v>
      </c>
      <c r="B1492" s="3" t="str">
        <f t="shared" si="33"/>
        <v>France - HCP Survey Email - June 2025</v>
      </c>
      <c r="C1492" s="3" t="str">
        <f>HYPERLINK("https://otsuka-europe-crm.veevavault.com/ui/#object/sent_email__v/VBLZ025E82GNO42", "SE-000273117")</f>
        <v>SE-000273117</v>
      </c>
      <c r="D1492" s="4" t="s">
        <v>11</v>
      </c>
      <c r="E1492" s="5">
        <v>0</v>
      </c>
      <c r="F1492" s="5">
        <v>0</v>
      </c>
      <c r="G1492" s="5">
        <v>0</v>
      </c>
      <c r="H1492" s="4" t="s">
        <v>11</v>
      </c>
      <c r="I1492" s="5">
        <v>0</v>
      </c>
      <c r="J1492" s="4">
        <v>45916.294293981482</v>
      </c>
    </row>
    <row r="1493" spans="1:10" x14ac:dyDescent="0.2">
      <c r="A1493" s="2" t="s">
        <v>10</v>
      </c>
      <c r="B1493" s="3" t="str">
        <f t="shared" si="33"/>
        <v>France - HCP Survey Email - June 2025</v>
      </c>
      <c r="C1493" s="3" t="str">
        <f>HYPERLINK("https://otsuka-europe-crm.veevavault.com/ui/#object/sent_email__v/VBLZ025E82GNO43", "SE-000273118")</f>
        <v>SE-000273118</v>
      </c>
      <c r="D1493" s="4">
        <v>45917.504050925927</v>
      </c>
      <c r="E1493" s="5">
        <v>1</v>
      </c>
      <c r="F1493" s="5">
        <v>1</v>
      </c>
      <c r="G1493" s="5">
        <v>1</v>
      </c>
      <c r="H1493" s="4">
        <v>45917.504050925927</v>
      </c>
      <c r="I1493" s="5">
        <v>1</v>
      </c>
      <c r="J1493" s="4">
        <v>45916.29488425926</v>
      </c>
    </row>
    <row r="1494" spans="1:10" x14ac:dyDescent="0.2">
      <c r="A1494" s="2" t="s">
        <v>10</v>
      </c>
      <c r="B1494" s="3" t="str">
        <f t="shared" si="33"/>
        <v>France - HCP Survey Email - June 2025</v>
      </c>
      <c r="C1494" s="3" t="str">
        <f>HYPERLINK("https://otsuka-europe-crm.veevavault.com/ui/#object/sent_email__v/VBLZ025E82GNO44", "SE-000273119")</f>
        <v>SE-000273119</v>
      </c>
      <c r="D1494" s="4" t="s">
        <v>11</v>
      </c>
      <c r="E1494" s="5">
        <v>0</v>
      </c>
      <c r="F1494" s="5">
        <v>0</v>
      </c>
      <c r="G1494" s="5">
        <v>0</v>
      </c>
      <c r="H1494" s="4" t="s">
        <v>11</v>
      </c>
      <c r="I1494" s="5">
        <v>0</v>
      </c>
      <c r="J1494" s="4">
        <v>45916.294606481482</v>
      </c>
    </row>
    <row r="1495" spans="1:10" x14ac:dyDescent="0.2">
      <c r="A1495" s="2" t="s">
        <v>10</v>
      </c>
      <c r="B1495" s="3" t="str">
        <f t="shared" si="33"/>
        <v>France - HCP Survey Email - June 2025</v>
      </c>
      <c r="C1495" s="3" t="str">
        <f>HYPERLINK("https://otsuka-europe-crm.veevavault.com/ui/#object/sent_email__v/VBLZ025E82GNO45", "SE-000273120")</f>
        <v>SE-000273120</v>
      </c>
      <c r="D1495" s="4" t="s">
        <v>11</v>
      </c>
      <c r="E1495" s="5">
        <v>0</v>
      </c>
      <c r="F1495" s="5">
        <v>0</v>
      </c>
      <c r="G1495" s="5">
        <v>0</v>
      </c>
      <c r="H1495" s="4" t="s">
        <v>11</v>
      </c>
      <c r="I1495" s="5">
        <v>0</v>
      </c>
      <c r="J1495" s="4">
        <v>45916.294479166667</v>
      </c>
    </row>
    <row r="1496" spans="1:10" x14ac:dyDescent="0.2">
      <c r="A1496" s="2" t="s">
        <v>10</v>
      </c>
      <c r="B1496" s="3" t="str">
        <f t="shared" si="33"/>
        <v>France - HCP Survey Email - June 2025</v>
      </c>
      <c r="C1496" s="3" t="str">
        <f>HYPERLINK("https://otsuka-europe-crm.veevavault.com/ui/#object/sent_email__v/VBLZ025E82GNO46", "SE-000273121")</f>
        <v>SE-000273121</v>
      </c>
      <c r="D1496" s="4">
        <v>45916.373287037037</v>
      </c>
      <c r="E1496" s="5">
        <v>1</v>
      </c>
      <c r="F1496" s="5">
        <v>1</v>
      </c>
      <c r="G1496" s="5">
        <v>0</v>
      </c>
      <c r="H1496" s="4" t="s">
        <v>11</v>
      </c>
      <c r="I1496" s="5">
        <v>0</v>
      </c>
      <c r="J1496" s="4">
        <v>45916.294282407405</v>
      </c>
    </row>
    <row r="1497" spans="1:10" x14ac:dyDescent="0.2">
      <c r="A1497" s="2" t="s">
        <v>10</v>
      </c>
      <c r="B1497" s="3" t="str">
        <f t="shared" si="33"/>
        <v>France - HCP Survey Email - June 2025</v>
      </c>
      <c r="C1497" s="3" t="str">
        <f>HYPERLINK("https://otsuka-europe-crm.veevavault.com/ui/#object/sent_email__v/VBLZ025E82GNO47", "SE-000273122")</f>
        <v>SE-000273122</v>
      </c>
      <c r="D1497" s="4" t="s">
        <v>11</v>
      </c>
      <c r="E1497" s="5">
        <v>0</v>
      </c>
      <c r="F1497" s="5">
        <v>0</v>
      </c>
      <c r="G1497" s="5">
        <v>0</v>
      </c>
      <c r="H1497" s="4" t="s">
        <v>11</v>
      </c>
      <c r="I1497" s="5">
        <v>0</v>
      </c>
      <c r="J1497" s="4">
        <v>45916.294895833336</v>
      </c>
    </row>
    <row r="1498" spans="1:10" x14ac:dyDescent="0.2">
      <c r="A1498" s="2" t="s">
        <v>10</v>
      </c>
      <c r="B1498" s="3" t="str">
        <f t="shared" si="33"/>
        <v>France - HCP Survey Email - June 2025</v>
      </c>
      <c r="C1498" s="3" t="str">
        <f>HYPERLINK("https://otsuka-europe-crm.veevavault.com/ui/#object/sent_email__v/VBLZ025E82GNO48", "SE-000273123")</f>
        <v>SE-000273123</v>
      </c>
      <c r="D1498" s="4" t="s">
        <v>11</v>
      </c>
      <c r="E1498" s="5">
        <v>0</v>
      </c>
      <c r="F1498" s="5">
        <v>0</v>
      </c>
      <c r="G1498" s="5">
        <v>0</v>
      </c>
      <c r="H1498" s="4" t="s">
        <v>11</v>
      </c>
      <c r="I1498" s="5">
        <v>0</v>
      </c>
      <c r="J1498" s="4">
        <v>45916.294571759259</v>
      </c>
    </row>
    <row r="1499" spans="1:10" x14ac:dyDescent="0.2">
      <c r="A1499" s="2" t="s">
        <v>10</v>
      </c>
      <c r="B1499" s="3" t="str">
        <f t="shared" si="33"/>
        <v>France - HCP Survey Email - June 2025</v>
      </c>
      <c r="C1499" s="3" t="str">
        <f>HYPERLINK("https://otsuka-europe-crm.veevavault.com/ui/#object/sent_email__v/VBLZ025E82GNO49", "SE-000273124")</f>
        <v>SE-000273124</v>
      </c>
      <c r="D1499" s="4">
        <v>45916.295763888891</v>
      </c>
      <c r="E1499" s="5">
        <v>1</v>
      </c>
      <c r="F1499" s="5">
        <v>1</v>
      </c>
      <c r="G1499" s="5">
        <v>0</v>
      </c>
      <c r="H1499" s="4" t="s">
        <v>11</v>
      </c>
      <c r="I1499" s="5">
        <v>0</v>
      </c>
      <c r="J1499" s="4">
        <v>45916.294270833336</v>
      </c>
    </row>
    <row r="1500" spans="1:10" x14ac:dyDescent="0.2">
      <c r="A1500" s="2" t="s">
        <v>10</v>
      </c>
      <c r="B1500" s="3" t="str">
        <f t="shared" si="33"/>
        <v>France - HCP Survey Email - June 2025</v>
      </c>
      <c r="C1500" s="3" t="str">
        <f>HYPERLINK("https://otsuka-europe-crm.veevavault.com/ui/#object/sent_email__v/VBLZ025E82GNO4A", "SE-000273125")</f>
        <v>SE-000273125</v>
      </c>
      <c r="D1500" s="4" t="s">
        <v>11</v>
      </c>
      <c r="E1500" s="5">
        <v>0</v>
      </c>
      <c r="F1500" s="5">
        <v>0</v>
      </c>
      <c r="G1500" s="5">
        <v>0</v>
      </c>
      <c r="H1500" s="4" t="s">
        <v>11</v>
      </c>
      <c r="I1500" s="5">
        <v>0</v>
      </c>
      <c r="J1500" s="4">
        <v>45916.295069444444</v>
      </c>
    </row>
    <row r="1501" spans="1:10" x14ac:dyDescent="0.2">
      <c r="A1501" s="2" t="s">
        <v>10</v>
      </c>
      <c r="B1501" s="3" t="str">
        <f t="shared" si="33"/>
        <v>France - HCP Survey Email - June 2025</v>
      </c>
      <c r="C1501" s="3" t="str">
        <f>HYPERLINK("https://otsuka-europe-crm.veevavault.com/ui/#object/sent_email__v/VBLZ025E82GNO4B", "SE-000273126")</f>
        <v>SE-000273126</v>
      </c>
      <c r="D1501" s="4" t="s">
        <v>11</v>
      </c>
      <c r="E1501" s="5">
        <v>0</v>
      </c>
      <c r="F1501" s="5">
        <v>0</v>
      </c>
      <c r="G1501" s="5">
        <v>0</v>
      </c>
      <c r="H1501" s="4" t="s">
        <v>11</v>
      </c>
      <c r="I1501" s="5">
        <v>0</v>
      </c>
      <c r="J1501" s="4">
        <v>45916.294768518521</v>
      </c>
    </row>
    <row r="1502" spans="1:10" x14ac:dyDescent="0.2">
      <c r="A1502" s="2" t="s">
        <v>10</v>
      </c>
      <c r="B1502" s="3" t="str">
        <f t="shared" si="33"/>
        <v>France - HCP Survey Email - June 2025</v>
      </c>
      <c r="C1502" s="3" t="str">
        <f>HYPERLINK("https://otsuka-europe-crm.veevavault.com/ui/#object/sent_email__v/VBLZ025E82GNO4C", "SE-000273127")</f>
        <v>SE-000273127</v>
      </c>
      <c r="D1502" s="4" t="s">
        <v>11</v>
      </c>
      <c r="E1502" s="5">
        <v>0</v>
      </c>
      <c r="F1502" s="5">
        <v>0</v>
      </c>
      <c r="G1502" s="5">
        <v>0</v>
      </c>
      <c r="H1502" s="4" t="s">
        <v>11</v>
      </c>
      <c r="I1502" s="5">
        <v>0</v>
      </c>
      <c r="J1502" s="4">
        <v>45916.294606481482</v>
      </c>
    </row>
    <row r="1503" spans="1:10" x14ac:dyDescent="0.2">
      <c r="A1503" s="2" t="s">
        <v>10</v>
      </c>
      <c r="B1503" s="3" t="str">
        <f t="shared" si="33"/>
        <v>France - HCP Survey Email - June 2025</v>
      </c>
      <c r="C1503" s="3" t="str">
        <f>HYPERLINK("https://otsuka-europe-crm.veevavault.com/ui/#object/sent_email__v/VBLZ025E82GNO4D", "SE-000273128")</f>
        <v>SE-000273128</v>
      </c>
      <c r="D1503" s="4" t="s">
        <v>11</v>
      </c>
      <c r="E1503" s="5">
        <v>0</v>
      </c>
      <c r="F1503" s="5">
        <v>0</v>
      </c>
      <c r="G1503" s="5">
        <v>0</v>
      </c>
      <c r="H1503" s="4" t="s">
        <v>11</v>
      </c>
      <c r="I1503" s="5">
        <v>0</v>
      </c>
      <c r="J1503" s="4">
        <v>45916.294189814813</v>
      </c>
    </row>
    <row r="1504" spans="1:10" x14ac:dyDescent="0.2">
      <c r="A1504" s="2" t="s">
        <v>10</v>
      </c>
      <c r="B1504" s="3" t="str">
        <f t="shared" si="33"/>
        <v>France - HCP Survey Email - June 2025</v>
      </c>
      <c r="C1504" s="3" t="str">
        <f>HYPERLINK("https://otsuka-europe-crm.veevavault.com/ui/#object/sent_email__v/VBLZ025E82GNO4E", "SE-000273129")</f>
        <v>SE-000273129</v>
      </c>
      <c r="D1504" s="4" t="s">
        <v>11</v>
      </c>
      <c r="E1504" s="5">
        <v>0</v>
      </c>
      <c r="F1504" s="5">
        <v>0</v>
      </c>
      <c r="G1504" s="5">
        <v>0</v>
      </c>
      <c r="H1504" s="4" t="s">
        <v>11</v>
      </c>
      <c r="I1504" s="5">
        <v>0</v>
      </c>
      <c r="J1504" s="4">
        <v>45916.29483796296</v>
      </c>
    </row>
    <row r="1505" spans="1:10" x14ac:dyDescent="0.2">
      <c r="A1505" s="2" t="s">
        <v>10</v>
      </c>
      <c r="B1505" s="3" t="str">
        <f t="shared" si="33"/>
        <v>France - HCP Survey Email - June 2025</v>
      </c>
      <c r="C1505" s="3" t="str">
        <f>HYPERLINK("https://otsuka-europe-crm.veevavault.com/ui/#object/sent_email__v/VBLZ025E82GNO4F", "SE-000273130")</f>
        <v>SE-000273130</v>
      </c>
      <c r="D1505" s="4">
        <v>45916.395914351851</v>
      </c>
      <c r="E1505" s="5">
        <v>1</v>
      </c>
      <c r="F1505" s="5">
        <v>1</v>
      </c>
      <c r="G1505" s="5">
        <v>0</v>
      </c>
      <c r="H1505" s="4" t="s">
        <v>11</v>
      </c>
      <c r="I1505" s="5">
        <v>0</v>
      </c>
      <c r="J1505" s="4">
        <v>45916.294675925928</v>
      </c>
    </row>
    <row r="1506" spans="1:10" x14ac:dyDescent="0.2">
      <c r="A1506" s="2" t="s">
        <v>10</v>
      </c>
      <c r="B1506" s="3" t="str">
        <f t="shared" si="33"/>
        <v>France - HCP Survey Email - June 2025</v>
      </c>
      <c r="C1506" s="3" t="str">
        <f>HYPERLINK("https://otsuka-europe-crm.veevavault.com/ui/#object/sent_email__v/VBLZ025E82GNO4G", "SE-000273131")</f>
        <v>SE-000273131</v>
      </c>
      <c r="D1506" s="4" t="s">
        <v>11</v>
      </c>
      <c r="E1506" s="5">
        <v>0</v>
      </c>
      <c r="F1506" s="5">
        <v>0</v>
      </c>
      <c r="G1506" s="5">
        <v>0</v>
      </c>
      <c r="H1506" s="4" t="s">
        <v>11</v>
      </c>
      <c r="I1506" s="5">
        <v>0</v>
      </c>
      <c r="J1506" s="4">
        <v>45916.294421296298</v>
      </c>
    </row>
    <row r="1507" spans="1:10" x14ac:dyDescent="0.2">
      <c r="A1507" s="2" t="s">
        <v>10</v>
      </c>
      <c r="B1507" s="3" t="str">
        <f t="shared" si="33"/>
        <v>France - HCP Survey Email - June 2025</v>
      </c>
      <c r="C1507" s="3" t="str">
        <f>HYPERLINK("https://otsuka-europe-crm.veevavault.com/ui/#object/sent_email__v/VBLZ025E82GNO4H", "SE-000273132")</f>
        <v>SE-000273132</v>
      </c>
      <c r="D1507" s="4" t="s">
        <v>11</v>
      </c>
      <c r="E1507" s="5">
        <v>0</v>
      </c>
      <c r="F1507" s="5">
        <v>0</v>
      </c>
      <c r="G1507" s="5">
        <v>0</v>
      </c>
      <c r="H1507" s="4" t="s">
        <v>11</v>
      </c>
      <c r="I1507" s="5">
        <v>0</v>
      </c>
      <c r="J1507" s="4">
        <v>45916.294282407405</v>
      </c>
    </row>
    <row r="1508" spans="1:10" x14ac:dyDescent="0.2">
      <c r="A1508" s="2" t="s">
        <v>10</v>
      </c>
      <c r="B1508" s="3" t="str">
        <f t="shared" si="33"/>
        <v>France - HCP Survey Email - June 2025</v>
      </c>
      <c r="C1508" s="3" t="str">
        <f>HYPERLINK("https://otsuka-europe-crm.veevavault.com/ui/#object/sent_email__v/VBLZ025E82GNO4I", "SE-000273133")</f>
        <v>SE-000273133</v>
      </c>
      <c r="D1508" s="4" t="s">
        <v>11</v>
      </c>
      <c r="E1508" s="5">
        <v>0</v>
      </c>
      <c r="F1508" s="5">
        <v>0</v>
      </c>
      <c r="G1508" s="5">
        <v>0</v>
      </c>
      <c r="H1508" s="4" t="s">
        <v>11</v>
      </c>
      <c r="I1508" s="5">
        <v>0</v>
      </c>
      <c r="J1508" s="4">
        <v>45916.294942129629</v>
      </c>
    </row>
    <row r="1509" spans="1:10" x14ac:dyDescent="0.2">
      <c r="A1509" s="2" t="s">
        <v>10</v>
      </c>
      <c r="B1509" s="3" t="str">
        <f t="shared" si="33"/>
        <v>France - HCP Survey Email - June 2025</v>
      </c>
      <c r="C1509" s="3" t="str">
        <f>HYPERLINK("https://otsuka-europe-crm.veevavault.com/ui/#object/sent_email__v/VBLZ025E82GNO4J", "SE-000273134")</f>
        <v>SE-000273134</v>
      </c>
      <c r="D1509" s="4">
        <v>45916.29488425926</v>
      </c>
      <c r="E1509" s="5">
        <v>1</v>
      </c>
      <c r="F1509" s="5">
        <v>2</v>
      </c>
      <c r="G1509" s="5">
        <v>1</v>
      </c>
      <c r="H1509" s="4">
        <v>45916.29488425926</v>
      </c>
      <c r="I1509" s="5">
        <v>2</v>
      </c>
      <c r="J1509" s="4">
        <v>45916.294710648152</v>
      </c>
    </row>
    <row r="1510" spans="1:10" x14ac:dyDescent="0.2">
      <c r="A1510" s="2" t="s">
        <v>10</v>
      </c>
      <c r="B1510" s="3" t="str">
        <f t="shared" si="33"/>
        <v>France - HCP Survey Email - June 2025</v>
      </c>
      <c r="C1510" s="3" t="str">
        <f>HYPERLINK("https://otsuka-europe-crm.veevavault.com/ui/#object/sent_email__v/VBLZ025E82GNO4K", "SE-000273135")</f>
        <v>SE-000273135</v>
      </c>
      <c r="D1510" s="4" t="s">
        <v>11</v>
      </c>
      <c r="E1510" s="5">
        <v>0</v>
      </c>
      <c r="F1510" s="5">
        <v>0</v>
      </c>
      <c r="G1510" s="5">
        <v>0</v>
      </c>
      <c r="H1510" s="4" t="s">
        <v>11</v>
      </c>
      <c r="I1510" s="5">
        <v>0</v>
      </c>
      <c r="J1510" s="4">
        <v>45916.294317129628</v>
      </c>
    </row>
    <row r="1511" spans="1:10" x14ac:dyDescent="0.2">
      <c r="A1511" s="2" t="s">
        <v>10</v>
      </c>
      <c r="B1511" s="3" t="str">
        <f t="shared" si="33"/>
        <v>France - HCP Survey Email - June 2025</v>
      </c>
      <c r="C1511" s="3" t="str">
        <f>HYPERLINK("https://otsuka-europe-crm.veevavault.com/ui/#object/sent_email__v/VBLZ025E82GNO4L", "SE-000273136")</f>
        <v>SE-000273136</v>
      </c>
      <c r="D1511" s="4" t="s">
        <v>11</v>
      </c>
      <c r="E1511" s="5">
        <v>0</v>
      </c>
      <c r="F1511" s="5">
        <v>0</v>
      </c>
      <c r="G1511" s="5">
        <v>0</v>
      </c>
      <c r="H1511" s="4" t="s">
        <v>11</v>
      </c>
      <c r="I1511" s="5">
        <v>0</v>
      </c>
      <c r="J1511" s="4">
        <v>45916.29488425926</v>
      </c>
    </row>
    <row r="1512" spans="1:10" x14ac:dyDescent="0.2">
      <c r="A1512" s="2" t="s">
        <v>10</v>
      </c>
      <c r="B1512" s="3" t="str">
        <f t="shared" si="33"/>
        <v>France - HCP Survey Email - June 2025</v>
      </c>
      <c r="C1512" s="3" t="str">
        <f>HYPERLINK("https://otsuka-europe-crm.veevavault.com/ui/#object/sent_email__v/VBLZ025E82GNO4M", "SE-000273137")</f>
        <v>SE-000273137</v>
      </c>
      <c r="D1512" s="4" t="s">
        <v>11</v>
      </c>
      <c r="E1512" s="5">
        <v>0</v>
      </c>
      <c r="F1512" s="5">
        <v>0</v>
      </c>
      <c r="G1512" s="5">
        <v>0</v>
      </c>
      <c r="H1512" s="4" t="s">
        <v>11</v>
      </c>
      <c r="I1512" s="5">
        <v>0</v>
      </c>
      <c r="J1512" s="4">
        <v>45916.294768518521</v>
      </c>
    </row>
    <row r="1513" spans="1:10" x14ac:dyDescent="0.2">
      <c r="A1513" s="2" t="s">
        <v>10</v>
      </c>
      <c r="B1513" s="3" t="str">
        <f t="shared" si="33"/>
        <v>France - HCP Survey Email - June 2025</v>
      </c>
      <c r="C1513" s="3" t="str">
        <f>HYPERLINK("https://otsuka-europe-crm.veevavault.com/ui/#object/sent_email__v/VBLZ025E82GNO4N", "SE-000273138")</f>
        <v>SE-000273138</v>
      </c>
      <c r="D1513" s="4" t="s">
        <v>11</v>
      </c>
      <c r="E1513" s="5">
        <v>0</v>
      </c>
      <c r="F1513" s="5">
        <v>0</v>
      </c>
      <c r="G1513" s="5">
        <v>0</v>
      </c>
      <c r="H1513" s="4" t="s">
        <v>11</v>
      </c>
      <c r="I1513" s="5">
        <v>0</v>
      </c>
      <c r="J1513" s="4">
        <v>45916.294594907406</v>
      </c>
    </row>
    <row r="1514" spans="1:10" x14ac:dyDescent="0.2">
      <c r="A1514" s="2" t="s">
        <v>10</v>
      </c>
      <c r="B1514" s="3" t="str">
        <f t="shared" si="33"/>
        <v>France - HCP Survey Email - June 2025</v>
      </c>
      <c r="C1514" s="3" t="str">
        <f>HYPERLINK("https://otsuka-europe-crm.veevavault.com/ui/#object/sent_email__v/VBLZ025E82GNO4O", "SE-000273139")</f>
        <v>SE-000273139</v>
      </c>
      <c r="D1514" s="4" t="s">
        <v>11</v>
      </c>
      <c r="E1514" s="5">
        <v>0</v>
      </c>
      <c r="F1514" s="5">
        <v>0</v>
      </c>
      <c r="G1514" s="5">
        <v>0</v>
      </c>
      <c r="H1514" s="4" t="s">
        <v>11</v>
      </c>
      <c r="I1514" s="5">
        <v>0</v>
      </c>
      <c r="J1514" s="4">
        <v>45916.294317129628</v>
      </c>
    </row>
    <row r="1515" spans="1:10" x14ac:dyDescent="0.2">
      <c r="A1515" s="2" t="s">
        <v>10</v>
      </c>
      <c r="B1515" s="3" t="str">
        <f t="shared" si="33"/>
        <v>France - HCP Survey Email - June 2025</v>
      </c>
      <c r="C1515" s="3" t="str">
        <f>HYPERLINK("https://otsuka-europe-crm.veevavault.com/ui/#object/sent_email__v/VBLZ025E82GNO4P", "SE-000273140")</f>
        <v>SE-000273140</v>
      </c>
      <c r="D1515" s="4" t="s">
        <v>11</v>
      </c>
      <c r="E1515" s="5">
        <v>0</v>
      </c>
      <c r="F1515" s="5">
        <v>0</v>
      </c>
      <c r="G1515" s="5">
        <v>0</v>
      </c>
      <c r="H1515" s="4" t="s">
        <v>11</v>
      </c>
      <c r="I1515" s="5">
        <v>0</v>
      </c>
      <c r="J1515" s="4">
        <v>45916.294930555552</v>
      </c>
    </row>
    <row r="1516" spans="1:10" x14ac:dyDescent="0.2">
      <c r="A1516" s="2" t="s">
        <v>10</v>
      </c>
      <c r="B1516" s="3" t="str">
        <f t="shared" si="33"/>
        <v>France - HCP Survey Email - June 2025</v>
      </c>
      <c r="C1516" s="3" t="str">
        <f>HYPERLINK("https://otsuka-europe-crm.veevavault.com/ui/#object/sent_email__v/VBLZ025E82GNO4Q", "SE-000273141")</f>
        <v>SE-000273141</v>
      </c>
      <c r="D1516" s="4" t="s">
        <v>11</v>
      </c>
      <c r="E1516" s="5">
        <v>0</v>
      </c>
      <c r="F1516" s="5">
        <v>0</v>
      </c>
      <c r="G1516" s="5">
        <v>0</v>
      </c>
      <c r="H1516" s="4" t="s">
        <v>11</v>
      </c>
      <c r="I1516" s="5">
        <v>0</v>
      </c>
      <c r="J1516" s="4">
        <v>45916.294768518521</v>
      </c>
    </row>
    <row r="1517" spans="1:10" x14ac:dyDescent="0.2">
      <c r="A1517" s="2" t="s">
        <v>10</v>
      </c>
      <c r="B1517" s="3" t="str">
        <f t="shared" si="33"/>
        <v>France - HCP Survey Email - June 2025</v>
      </c>
      <c r="C1517" s="3" t="str">
        <f>HYPERLINK("https://otsuka-europe-crm.veevavault.com/ui/#object/sent_email__v/VBLZ025E82GNO4R", "SE-000273142")</f>
        <v>SE-000273142</v>
      </c>
      <c r="D1517" s="4" t="s">
        <v>11</v>
      </c>
      <c r="E1517" s="5">
        <v>0</v>
      </c>
      <c r="F1517" s="5">
        <v>0</v>
      </c>
      <c r="G1517" s="5">
        <v>0</v>
      </c>
      <c r="H1517" s="4" t="s">
        <v>11</v>
      </c>
      <c r="I1517" s="5">
        <v>0</v>
      </c>
      <c r="J1517" s="4">
        <v>45916.294525462959</v>
      </c>
    </row>
    <row r="1518" spans="1:10" x14ac:dyDescent="0.2">
      <c r="A1518" s="2" t="s">
        <v>10</v>
      </c>
      <c r="B1518" s="3" t="str">
        <f t="shared" si="33"/>
        <v>France - HCP Survey Email - June 2025</v>
      </c>
      <c r="C1518" s="3" t="str">
        <f>HYPERLINK("https://otsuka-europe-crm.veevavault.com/ui/#object/sent_email__v/VBLZ025E82GNO4S", "SE-000273143")</f>
        <v>SE-000273143</v>
      </c>
      <c r="D1518" s="4" t="s">
        <v>11</v>
      </c>
      <c r="E1518" s="5">
        <v>0</v>
      </c>
      <c r="F1518" s="5">
        <v>0</v>
      </c>
      <c r="G1518" s="5">
        <v>0</v>
      </c>
      <c r="H1518" s="4" t="s">
        <v>11</v>
      </c>
      <c r="I1518" s="5">
        <v>0</v>
      </c>
      <c r="J1518" s="4">
        <v>45916.294363425928</v>
      </c>
    </row>
    <row r="1519" spans="1:10" x14ac:dyDescent="0.2">
      <c r="A1519" s="2" t="s">
        <v>10</v>
      </c>
      <c r="B1519" s="3" t="str">
        <f t="shared" si="33"/>
        <v>France - HCP Survey Email - June 2025</v>
      </c>
      <c r="C1519" s="3" t="str">
        <f>HYPERLINK("https://otsuka-europe-crm.veevavault.com/ui/#object/sent_email__v/VBLZ025E82GNO4T", "SE-000273144")</f>
        <v>SE-000273144</v>
      </c>
      <c r="D1519" s="4" t="s">
        <v>11</v>
      </c>
      <c r="E1519" s="5">
        <v>0</v>
      </c>
      <c r="F1519" s="5">
        <v>0</v>
      </c>
      <c r="G1519" s="5">
        <v>0</v>
      </c>
      <c r="H1519" s="4" t="s">
        <v>11</v>
      </c>
      <c r="I1519" s="5">
        <v>0</v>
      </c>
      <c r="J1519" s="4">
        <v>45916.294861111113</v>
      </c>
    </row>
    <row r="1520" spans="1:10" x14ac:dyDescent="0.2">
      <c r="A1520" s="2" t="s">
        <v>10</v>
      </c>
      <c r="B1520" s="3" t="str">
        <f t="shared" si="33"/>
        <v>France - HCP Survey Email - June 2025</v>
      </c>
      <c r="C1520" s="3" t="str">
        <f>HYPERLINK("https://otsuka-europe-crm.veevavault.com/ui/#object/sent_email__v/VBLZ025E82GNO4U", "SE-000273145")</f>
        <v>SE-000273145</v>
      </c>
      <c r="D1520" s="4">
        <v>45916.35052083333</v>
      </c>
      <c r="E1520" s="5">
        <v>1</v>
      </c>
      <c r="F1520" s="5">
        <v>2</v>
      </c>
      <c r="G1520" s="5">
        <v>0</v>
      </c>
      <c r="H1520" s="4" t="s">
        <v>11</v>
      </c>
      <c r="I1520" s="5">
        <v>0</v>
      </c>
      <c r="J1520" s="4">
        <v>45916.294606481482</v>
      </c>
    </row>
    <row r="1521" spans="1:10" x14ac:dyDescent="0.2">
      <c r="A1521" s="2" t="s">
        <v>10</v>
      </c>
      <c r="B1521" s="3" t="str">
        <f t="shared" si="33"/>
        <v>France - HCP Survey Email - June 2025</v>
      </c>
      <c r="C1521" s="3" t="str">
        <f>HYPERLINK("https://otsuka-europe-crm.veevavault.com/ui/#object/sent_email__v/VBLZ025E82GNO4V", "SE-000273146")</f>
        <v>SE-000273146</v>
      </c>
      <c r="D1521" s="4" t="s">
        <v>11</v>
      </c>
      <c r="E1521" s="5">
        <v>0</v>
      </c>
      <c r="F1521" s="5">
        <v>0</v>
      </c>
      <c r="G1521" s="5">
        <v>0</v>
      </c>
      <c r="H1521" s="4" t="s">
        <v>11</v>
      </c>
      <c r="I1521" s="5">
        <v>0</v>
      </c>
      <c r="J1521" s="4">
        <v>45916.294351851851</v>
      </c>
    </row>
    <row r="1522" spans="1:10" x14ac:dyDescent="0.2">
      <c r="A1522" s="2" t="s">
        <v>10</v>
      </c>
      <c r="B1522" s="3" t="str">
        <f t="shared" si="33"/>
        <v>France - HCP Survey Email - June 2025</v>
      </c>
      <c r="C1522" s="3" t="str">
        <f>HYPERLINK("https://otsuka-europe-crm.veevavault.com/ui/#object/sent_email__v/VBLZ025E82GNO4X", "SE-000273148")</f>
        <v>SE-000273148</v>
      </c>
      <c r="D1522" s="4" t="s">
        <v>11</v>
      </c>
      <c r="E1522" s="5">
        <v>0</v>
      </c>
      <c r="F1522" s="5">
        <v>0</v>
      </c>
      <c r="G1522" s="5">
        <v>0</v>
      </c>
      <c r="H1522" s="4" t="s">
        <v>11</v>
      </c>
      <c r="I1522" s="5">
        <v>0</v>
      </c>
      <c r="J1522" s="4">
        <v>45916.294942129629</v>
      </c>
    </row>
    <row r="1523" spans="1:10" x14ac:dyDescent="0.2">
      <c r="A1523" s="2" t="s">
        <v>10</v>
      </c>
      <c r="B1523" s="3" t="str">
        <f t="shared" si="33"/>
        <v>France - HCP Survey Email - June 2025</v>
      </c>
      <c r="C1523" s="3" t="str">
        <f>HYPERLINK("https://otsuka-europe-crm.veevavault.com/ui/#object/sent_email__v/VBLZ025E82GNO4Y", "SE-000273149")</f>
        <v>SE-000273149</v>
      </c>
      <c r="D1523" s="4">
        <v>45921.063993055555</v>
      </c>
      <c r="E1523" s="5">
        <v>1</v>
      </c>
      <c r="F1523" s="5">
        <v>1</v>
      </c>
      <c r="G1523" s="5">
        <v>0</v>
      </c>
      <c r="H1523" s="4" t="s">
        <v>11</v>
      </c>
      <c r="I1523" s="5">
        <v>0</v>
      </c>
      <c r="J1523" s="4">
        <v>45916.294687499998</v>
      </c>
    </row>
    <row r="1524" spans="1:10" x14ac:dyDescent="0.2">
      <c r="A1524" s="2" t="s">
        <v>10</v>
      </c>
      <c r="B1524" s="3" t="str">
        <f t="shared" si="33"/>
        <v>France - HCP Survey Email - June 2025</v>
      </c>
      <c r="C1524" s="3" t="str">
        <f>HYPERLINK("https://otsuka-europe-crm.veevavault.com/ui/#object/sent_email__v/VBLZ025E82GNO4Z", "SE-000273150")</f>
        <v>SE-000273150</v>
      </c>
      <c r="D1524" s="4" t="s">
        <v>11</v>
      </c>
      <c r="E1524" s="5">
        <v>0</v>
      </c>
      <c r="F1524" s="5">
        <v>0</v>
      </c>
      <c r="G1524" s="5">
        <v>0</v>
      </c>
      <c r="H1524" s="4" t="s">
        <v>11</v>
      </c>
      <c r="I1524" s="5">
        <v>0</v>
      </c>
      <c r="J1524" s="4">
        <v>45916.294317129628</v>
      </c>
    </row>
    <row r="1525" spans="1:10" x14ac:dyDescent="0.2">
      <c r="A1525" s="2" t="s">
        <v>10</v>
      </c>
      <c r="B1525" s="3" t="str">
        <f t="shared" si="33"/>
        <v>France - HCP Survey Email - June 2025</v>
      </c>
      <c r="C1525" s="3" t="str">
        <f>HYPERLINK("https://otsuka-europe-crm.veevavault.com/ui/#object/sent_email__v/VBLZ025E82GNO50", "SE-000273151")</f>
        <v>SE-000273151</v>
      </c>
      <c r="D1525" s="4">
        <v>45916.307754629626</v>
      </c>
      <c r="E1525" s="5">
        <v>1</v>
      </c>
      <c r="F1525" s="5">
        <v>1</v>
      </c>
      <c r="G1525" s="5">
        <v>0</v>
      </c>
      <c r="H1525" s="4" t="s">
        <v>11</v>
      </c>
      <c r="I1525" s="5">
        <v>0</v>
      </c>
      <c r="J1525" s="4">
        <v>45916.294930555552</v>
      </c>
    </row>
    <row r="1526" spans="1:10" x14ac:dyDescent="0.2">
      <c r="A1526" s="2" t="s">
        <v>10</v>
      </c>
      <c r="B1526" s="3" t="str">
        <f t="shared" si="33"/>
        <v>France - HCP Survey Email - June 2025</v>
      </c>
      <c r="C1526" s="3" t="str">
        <f>HYPERLINK("https://otsuka-europe-crm.veevavault.com/ui/#object/sent_email__v/VBLZ025E82GNO52", "SE-000273153")</f>
        <v>SE-000273153</v>
      </c>
      <c r="D1526" s="4" t="s">
        <v>11</v>
      </c>
      <c r="E1526" s="5">
        <v>0</v>
      </c>
      <c r="F1526" s="5">
        <v>0</v>
      </c>
      <c r="G1526" s="5">
        <v>0</v>
      </c>
      <c r="H1526" s="4" t="s">
        <v>11</v>
      </c>
      <c r="I1526" s="5">
        <v>0</v>
      </c>
      <c r="J1526" s="4">
        <v>45916.294548611113</v>
      </c>
    </row>
    <row r="1527" spans="1:10" x14ac:dyDescent="0.2">
      <c r="A1527" s="2" t="s">
        <v>10</v>
      </c>
      <c r="B1527" s="3" t="str">
        <f t="shared" si="33"/>
        <v>France - HCP Survey Email - June 2025</v>
      </c>
      <c r="C1527" s="3" t="str">
        <f>HYPERLINK("https://otsuka-europe-crm.veevavault.com/ui/#object/sent_email__v/VBLZ025E82GNO53", "SE-000273154")</f>
        <v>SE-000273154</v>
      </c>
      <c r="D1527" s="4" t="s">
        <v>11</v>
      </c>
      <c r="E1527" s="5">
        <v>0</v>
      </c>
      <c r="F1527" s="5">
        <v>0</v>
      </c>
      <c r="G1527" s="5">
        <v>0</v>
      </c>
      <c r="H1527" s="4" t="s">
        <v>11</v>
      </c>
      <c r="I1527" s="5">
        <v>0</v>
      </c>
      <c r="J1527" s="4">
        <v>45916.294305555559</v>
      </c>
    </row>
    <row r="1528" spans="1:10" x14ac:dyDescent="0.2">
      <c r="A1528" s="2" t="s">
        <v>10</v>
      </c>
      <c r="B1528" s="3" t="str">
        <f t="shared" si="33"/>
        <v>France - HCP Survey Email - June 2025</v>
      </c>
      <c r="C1528" s="3" t="str">
        <f>HYPERLINK("https://otsuka-europe-crm.veevavault.com/ui/#object/sent_email__v/VBLZ025E82GNO54", "SE-000273155")</f>
        <v>SE-000273155</v>
      </c>
      <c r="D1528" s="4" t="s">
        <v>11</v>
      </c>
      <c r="E1528" s="5">
        <v>0</v>
      </c>
      <c r="F1528" s="5">
        <v>0</v>
      </c>
      <c r="G1528" s="5">
        <v>0</v>
      </c>
      <c r="H1528" s="4" t="s">
        <v>11</v>
      </c>
      <c r="I1528" s="5">
        <v>0</v>
      </c>
      <c r="J1528" s="4">
        <v>45916.294814814813</v>
      </c>
    </row>
    <row r="1529" spans="1:10" x14ac:dyDescent="0.2">
      <c r="A1529" s="2" t="s">
        <v>10</v>
      </c>
      <c r="B1529" s="3" t="str">
        <f t="shared" si="33"/>
        <v>France - HCP Survey Email - June 2025</v>
      </c>
      <c r="C1529" s="3" t="str">
        <f>HYPERLINK("https://otsuka-europe-crm.veevavault.com/ui/#object/sent_email__v/VBLZ025E82GNO55", "SE-000273156")</f>
        <v>SE-000273156</v>
      </c>
      <c r="D1529" s="4" t="s">
        <v>11</v>
      </c>
      <c r="E1529" s="5">
        <v>0</v>
      </c>
      <c r="F1529" s="5">
        <v>0</v>
      </c>
      <c r="G1529" s="5">
        <v>0</v>
      </c>
      <c r="H1529" s="4" t="s">
        <v>11</v>
      </c>
      <c r="I1529" s="5">
        <v>0</v>
      </c>
      <c r="J1529" s="4">
        <v>45916.294629629629</v>
      </c>
    </row>
    <row r="1530" spans="1:10" x14ac:dyDescent="0.2">
      <c r="A1530" s="2" t="s">
        <v>10</v>
      </c>
      <c r="B1530" s="3" t="str">
        <f t="shared" si="33"/>
        <v>France - HCP Survey Email - June 2025</v>
      </c>
      <c r="C1530" s="3" t="str">
        <f>HYPERLINK("https://otsuka-europe-crm.veevavault.com/ui/#object/sent_email__v/VBLZ025E82GNO56", "SE-000273157")</f>
        <v>SE-000273157</v>
      </c>
      <c r="D1530" s="4" t="s">
        <v>11</v>
      </c>
      <c r="E1530" s="5">
        <v>0</v>
      </c>
      <c r="F1530" s="5">
        <v>0</v>
      </c>
      <c r="G1530" s="5">
        <v>0</v>
      </c>
      <c r="H1530" s="4" t="s">
        <v>11</v>
      </c>
      <c r="I1530" s="5">
        <v>0</v>
      </c>
      <c r="J1530" s="4">
        <v>45916.294328703705</v>
      </c>
    </row>
    <row r="1531" spans="1:10" x14ac:dyDescent="0.2">
      <c r="A1531" s="2" t="s">
        <v>10</v>
      </c>
      <c r="B1531" s="3" t="str">
        <f t="shared" si="33"/>
        <v>France - HCP Survey Email - June 2025</v>
      </c>
      <c r="C1531" s="3" t="str">
        <f>HYPERLINK("https://otsuka-europe-crm.veevavault.com/ui/#object/sent_email__v/VBLZ025E82GNO57", "SE-000273158")</f>
        <v>SE-000273158</v>
      </c>
      <c r="D1531" s="4" t="s">
        <v>11</v>
      </c>
      <c r="E1531" s="5">
        <v>0</v>
      </c>
      <c r="F1531" s="5">
        <v>0</v>
      </c>
      <c r="G1531" s="5">
        <v>0</v>
      </c>
      <c r="H1531" s="4" t="s">
        <v>11</v>
      </c>
      <c r="I1531" s="5">
        <v>0</v>
      </c>
      <c r="J1531" s="4">
        <v>45916.294212962966</v>
      </c>
    </row>
    <row r="1532" spans="1:10" x14ac:dyDescent="0.2">
      <c r="A1532" s="2" t="s">
        <v>10</v>
      </c>
      <c r="B1532" s="3" t="str">
        <f t="shared" si="33"/>
        <v>France - HCP Survey Email - June 2025</v>
      </c>
      <c r="C1532" s="3" t="str">
        <f>HYPERLINK("https://otsuka-europe-crm.veevavault.com/ui/#object/sent_email__v/VBLZ025E82GNO58", "SE-000273159")</f>
        <v>SE-000273159</v>
      </c>
      <c r="D1532" s="4" t="s">
        <v>11</v>
      </c>
      <c r="E1532" s="5">
        <v>0</v>
      </c>
      <c r="F1532" s="5">
        <v>0</v>
      </c>
      <c r="G1532" s="5">
        <v>0</v>
      </c>
      <c r="H1532" s="4" t="s">
        <v>11</v>
      </c>
      <c r="I1532" s="5">
        <v>0</v>
      </c>
      <c r="J1532" s="4">
        <v>45916.294814814813</v>
      </c>
    </row>
    <row r="1533" spans="1:10" x14ac:dyDescent="0.2">
      <c r="A1533" s="2" t="s">
        <v>10</v>
      </c>
      <c r="B1533" s="3" t="str">
        <f t="shared" si="33"/>
        <v>France - HCP Survey Email - June 2025</v>
      </c>
      <c r="C1533" s="3" t="str">
        <f>HYPERLINK("https://otsuka-europe-crm.veevavault.com/ui/#object/sent_email__v/VBLZ025E82GNO59", "SE-000273160")</f>
        <v>SE-000273160</v>
      </c>
      <c r="D1533" s="4" t="s">
        <v>11</v>
      </c>
      <c r="E1533" s="5">
        <v>0</v>
      </c>
      <c r="F1533" s="5">
        <v>0</v>
      </c>
      <c r="G1533" s="5">
        <v>0</v>
      </c>
      <c r="H1533" s="4" t="s">
        <v>11</v>
      </c>
      <c r="I1533" s="5">
        <v>0</v>
      </c>
      <c r="J1533" s="4">
        <v>45916.294548611113</v>
      </c>
    </row>
    <row r="1534" spans="1:10" x14ac:dyDescent="0.2">
      <c r="A1534" s="2" t="s">
        <v>10</v>
      </c>
      <c r="B1534" s="3" t="str">
        <f t="shared" si="33"/>
        <v>France - HCP Survey Email - June 2025</v>
      </c>
      <c r="C1534" s="3" t="str">
        <f>HYPERLINK("https://otsuka-europe-crm.veevavault.com/ui/#object/sent_email__v/VBLZ025E82GNO5A", "SE-000273161")</f>
        <v>SE-000273161</v>
      </c>
      <c r="D1534" s="4">
        <v>45916.424571759257</v>
      </c>
      <c r="E1534" s="5">
        <v>1</v>
      </c>
      <c r="F1534" s="5">
        <v>1</v>
      </c>
      <c r="G1534" s="5">
        <v>0</v>
      </c>
      <c r="H1534" s="4" t="s">
        <v>11</v>
      </c>
      <c r="I1534" s="5">
        <v>0</v>
      </c>
      <c r="J1534" s="4">
        <v>45916.294340277775</v>
      </c>
    </row>
    <row r="1535" spans="1:10" x14ac:dyDescent="0.2">
      <c r="A1535" s="2" t="s">
        <v>10</v>
      </c>
      <c r="B1535" s="3" t="str">
        <f t="shared" si="33"/>
        <v>France - HCP Survey Email - June 2025</v>
      </c>
      <c r="C1535" s="3" t="str">
        <f>HYPERLINK("https://otsuka-europe-crm.veevavault.com/ui/#object/sent_email__v/VBLZ025E82GNO5B", "SE-000273162")</f>
        <v>SE-000273162</v>
      </c>
      <c r="D1535" s="4" t="s">
        <v>11</v>
      </c>
      <c r="E1535" s="5">
        <v>0</v>
      </c>
      <c r="F1535" s="5">
        <v>0</v>
      </c>
      <c r="G1535" s="5">
        <v>0</v>
      </c>
      <c r="H1535" s="4" t="s">
        <v>11</v>
      </c>
      <c r="I1535" s="5">
        <v>0</v>
      </c>
      <c r="J1535" s="4">
        <v>45916.294907407406</v>
      </c>
    </row>
    <row r="1536" spans="1:10" x14ac:dyDescent="0.2">
      <c r="A1536" s="2" t="s">
        <v>10</v>
      </c>
      <c r="B1536" s="3" t="str">
        <f t="shared" si="33"/>
        <v>France - HCP Survey Email - June 2025</v>
      </c>
      <c r="C1536" s="3" t="str">
        <f>HYPERLINK("https://otsuka-europe-crm.veevavault.com/ui/#object/sent_email__v/VBLZ025E82GNO5C", "SE-000273163")</f>
        <v>SE-000273163</v>
      </c>
      <c r="D1536" s="4">
        <v>45916.30400462963</v>
      </c>
      <c r="E1536" s="5">
        <v>1</v>
      </c>
      <c r="F1536" s="5">
        <v>1</v>
      </c>
      <c r="G1536" s="5">
        <v>0</v>
      </c>
      <c r="H1536" s="4" t="s">
        <v>11</v>
      </c>
      <c r="I1536" s="5">
        <v>0</v>
      </c>
      <c r="J1536" s="4">
        <v>45916.294930555552</v>
      </c>
    </row>
    <row r="1537" spans="1:10" x14ac:dyDescent="0.2">
      <c r="A1537" s="2" t="s">
        <v>10</v>
      </c>
      <c r="B1537" s="3" t="str">
        <f t="shared" ref="B1537:B1600" si="34">HYPERLINK("https://otsuka-europe-crm.veevavault.com/ui/#object/approved_document__v/V5OZ025E82TMV97", "France - HCP Survey Email - June 2025")</f>
        <v>France - HCP Survey Email - June 2025</v>
      </c>
      <c r="C1537" s="3" t="str">
        <f>HYPERLINK("https://otsuka-europe-crm.veevavault.com/ui/#object/sent_email__v/VBLZ025E82GNO5D", "SE-000273164")</f>
        <v>SE-000273164</v>
      </c>
      <c r="D1537" s="4" t="s">
        <v>11</v>
      </c>
      <c r="E1537" s="5">
        <v>0</v>
      </c>
      <c r="F1537" s="5">
        <v>0</v>
      </c>
      <c r="G1537" s="5">
        <v>0</v>
      </c>
      <c r="H1537" s="4" t="s">
        <v>11</v>
      </c>
      <c r="I1537" s="5">
        <v>0</v>
      </c>
      <c r="J1537" s="4">
        <v>45916.294571759259</v>
      </c>
    </row>
    <row r="1538" spans="1:10" x14ac:dyDescent="0.2">
      <c r="A1538" s="2" t="s">
        <v>10</v>
      </c>
      <c r="B1538" s="3" t="str">
        <f t="shared" si="34"/>
        <v>France - HCP Survey Email - June 2025</v>
      </c>
      <c r="C1538" s="3" t="str">
        <f>HYPERLINK("https://otsuka-europe-crm.veevavault.com/ui/#object/sent_email__v/VBLZ025E82GNO5E", "SE-000273165")</f>
        <v>SE-000273165</v>
      </c>
      <c r="D1538" s="4" t="s">
        <v>11</v>
      </c>
      <c r="E1538" s="5">
        <v>0</v>
      </c>
      <c r="F1538" s="5">
        <v>0</v>
      </c>
      <c r="G1538" s="5">
        <v>0</v>
      </c>
      <c r="H1538" s="4" t="s">
        <v>11</v>
      </c>
      <c r="I1538" s="5">
        <v>0</v>
      </c>
      <c r="J1538" s="4">
        <v>45916.294560185182</v>
      </c>
    </row>
    <row r="1539" spans="1:10" x14ac:dyDescent="0.2">
      <c r="A1539" s="2" t="s">
        <v>10</v>
      </c>
      <c r="B1539" s="3" t="str">
        <f t="shared" si="34"/>
        <v>France - HCP Survey Email - June 2025</v>
      </c>
      <c r="C1539" s="3" t="str">
        <f>HYPERLINK("https://otsuka-europe-crm.veevavault.com/ui/#object/sent_email__v/VBLZ025E82GNO5F", "SE-000273166")</f>
        <v>SE-000273166</v>
      </c>
      <c r="D1539" s="4" t="s">
        <v>11</v>
      </c>
      <c r="E1539" s="5">
        <v>0</v>
      </c>
      <c r="F1539" s="5">
        <v>0</v>
      </c>
      <c r="G1539" s="5">
        <v>0</v>
      </c>
      <c r="H1539" s="4" t="s">
        <v>11</v>
      </c>
      <c r="I1539" s="5">
        <v>0</v>
      </c>
      <c r="J1539" s="4">
        <v>45916.294317129628</v>
      </c>
    </row>
    <row r="1540" spans="1:10" x14ac:dyDescent="0.2">
      <c r="A1540" s="2" t="s">
        <v>10</v>
      </c>
      <c r="B1540" s="3" t="str">
        <f t="shared" si="34"/>
        <v>France - HCP Survey Email - June 2025</v>
      </c>
      <c r="C1540" s="3" t="str">
        <f>HYPERLINK("https://otsuka-europe-crm.veevavault.com/ui/#object/sent_email__v/VBLZ025E82GNO5G", "SE-000273167")</f>
        <v>SE-000273167</v>
      </c>
      <c r="D1540" s="4" t="s">
        <v>11</v>
      </c>
      <c r="E1540" s="5">
        <v>0</v>
      </c>
      <c r="F1540" s="5">
        <v>0</v>
      </c>
      <c r="G1540" s="5">
        <v>0</v>
      </c>
      <c r="H1540" s="4" t="s">
        <v>11</v>
      </c>
      <c r="I1540" s="5">
        <v>0</v>
      </c>
      <c r="J1540" s="4">
        <v>45916.294965277775</v>
      </c>
    </row>
    <row r="1541" spans="1:10" x14ac:dyDescent="0.2">
      <c r="A1541" s="2" t="s">
        <v>10</v>
      </c>
      <c r="B1541" s="3" t="str">
        <f t="shared" si="34"/>
        <v>France - HCP Survey Email - June 2025</v>
      </c>
      <c r="C1541" s="3" t="str">
        <f>HYPERLINK("https://otsuka-europe-crm.veevavault.com/ui/#object/sent_email__v/VBLZ025E82GNO5H", "SE-000273168")</f>
        <v>SE-000273168</v>
      </c>
      <c r="D1541" s="4" t="s">
        <v>11</v>
      </c>
      <c r="E1541" s="5">
        <v>0</v>
      </c>
      <c r="F1541" s="5">
        <v>0</v>
      </c>
      <c r="G1541" s="5">
        <v>0</v>
      </c>
      <c r="H1541" s="4" t="s">
        <v>11</v>
      </c>
      <c r="I1541" s="5">
        <v>0</v>
      </c>
      <c r="J1541" s="4">
        <v>45916.29482638889</v>
      </c>
    </row>
    <row r="1542" spans="1:10" x14ac:dyDescent="0.2">
      <c r="A1542" s="2" t="s">
        <v>10</v>
      </c>
      <c r="B1542" s="3" t="str">
        <f t="shared" si="34"/>
        <v>France - HCP Survey Email - June 2025</v>
      </c>
      <c r="C1542" s="3" t="str">
        <f>HYPERLINK("https://otsuka-europe-crm.veevavault.com/ui/#object/sent_email__v/VBLZ025E82GNO5I", "SE-000273169")</f>
        <v>SE-000273169</v>
      </c>
      <c r="D1542" s="4" t="s">
        <v>11</v>
      </c>
      <c r="E1542" s="5">
        <v>0</v>
      </c>
      <c r="F1542" s="5">
        <v>0</v>
      </c>
      <c r="G1542" s="5">
        <v>0</v>
      </c>
      <c r="H1542" s="4" t="s">
        <v>11</v>
      </c>
      <c r="I1542" s="5">
        <v>0</v>
      </c>
      <c r="J1542" s="4">
        <v>45916.294548611113</v>
      </c>
    </row>
    <row r="1543" spans="1:10" x14ac:dyDescent="0.2">
      <c r="A1543" s="2" t="s">
        <v>10</v>
      </c>
      <c r="B1543" s="3" t="str">
        <f t="shared" si="34"/>
        <v>France - HCP Survey Email - June 2025</v>
      </c>
      <c r="C1543" s="3" t="str">
        <f>HYPERLINK("https://otsuka-europe-crm.veevavault.com/ui/#object/sent_email__v/VBLZ025E82GNO5J", "SE-000273170")</f>
        <v>SE-000273170</v>
      </c>
      <c r="D1543" s="4" t="s">
        <v>11</v>
      </c>
      <c r="E1543" s="5">
        <v>0</v>
      </c>
      <c r="F1543" s="5">
        <v>0</v>
      </c>
      <c r="G1543" s="5">
        <v>0</v>
      </c>
      <c r="H1543" s="4" t="s">
        <v>11</v>
      </c>
      <c r="I1543" s="5">
        <v>0</v>
      </c>
      <c r="J1543" s="4">
        <v>45916.294189814813</v>
      </c>
    </row>
    <row r="1544" spans="1:10" x14ac:dyDescent="0.2">
      <c r="A1544" s="2" t="s">
        <v>10</v>
      </c>
      <c r="B1544" s="3" t="str">
        <f t="shared" si="34"/>
        <v>France - HCP Survey Email - June 2025</v>
      </c>
      <c r="C1544" s="3" t="str">
        <f>HYPERLINK("https://otsuka-europe-crm.veevavault.com/ui/#object/sent_email__v/VBLZ025E82GNO5K", "SE-000273171")</f>
        <v>SE-000273171</v>
      </c>
      <c r="D1544" s="4" t="s">
        <v>11</v>
      </c>
      <c r="E1544" s="5">
        <v>0</v>
      </c>
      <c r="F1544" s="5">
        <v>0</v>
      </c>
      <c r="G1544" s="5">
        <v>0</v>
      </c>
      <c r="H1544" s="4" t="s">
        <v>11</v>
      </c>
      <c r="I1544" s="5">
        <v>0</v>
      </c>
      <c r="J1544" s="4">
        <v>45916.294895833336</v>
      </c>
    </row>
    <row r="1545" spans="1:10" x14ac:dyDescent="0.2">
      <c r="A1545" s="2" t="s">
        <v>10</v>
      </c>
      <c r="B1545" s="3" t="str">
        <f t="shared" si="34"/>
        <v>France - HCP Survey Email - June 2025</v>
      </c>
      <c r="C1545" s="3" t="str">
        <f>HYPERLINK("https://otsuka-europe-crm.veevavault.com/ui/#object/sent_email__v/VBLZ025E82GNO5L", "SE-000273172")</f>
        <v>SE-000273172</v>
      </c>
      <c r="D1545" s="4">
        <v>45918.734884259262</v>
      </c>
      <c r="E1545" s="5">
        <v>1</v>
      </c>
      <c r="F1545" s="5">
        <v>1</v>
      </c>
      <c r="G1545" s="5">
        <v>1</v>
      </c>
      <c r="H1545" s="4">
        <v>45918.734884259262</v>
      </c>
      <c r="I1545" s="5">
        <v>1</v>
      </c>
      <c r="J1545" s="4">
        <v>45916.294594907406</v>
      </c>
    </row>
    <row r="1546" spans="1:10" x14ac:dyDescent="0.2">
      <c r="A1546" s="2" t="s">
        <v>10</v>
      </c>
      <c r="B1546" s="3" t="str">
        <f t="shared" si="34"/>
        <v>France - HCP Survey Email - June 2025</v>
      </c>
      <c r="C1546" s="3" t="str">
        <f>HYPERLINK("https://otsuka-europe-crm.veevavault.com/ui/#object/sent_email__v/VBLZ025E82GNO5M", "SE-000273173")</f>
        <v>SE-000273173</v>
      </c>
      <c r="D1546" s="4" t="s">
        <v>11</v>
      </c>
      <c r="E1546" s="5">
        <v>0</v>
      </c>
      <c r="F1546" s="5">
        <v>0</v>
      </c>
      <c r="G1546" s="5">
        <v>0</v>
      </c>
      <c r="H1546" s="4" t="s">
        <v>11</v>
      </c>
      <c r="I1546" s="5">
        <v>0</v>
      </c>
      <c r="J1546" s="4">
        <v>45916.294444444444</v>
      </c>
    </row>
    <row r="1547" spans="1:10" x14ac:dyDescent="0.2">
      <c r="A1547" s="2" t="s">
        <v>10</v>
      </c>
      <c r="B1547" s="3" t="str">
        <f t="shared" si="34"/>
        <v>France - HCP Survey Email - June 2025</v>
      </c>
      <c r="C1547" s="3" t="str">
        <f>HYPERLINK("https://otsuka-europe-crm.veevavault.com/ui/#object/sent_email__v/VBLZ025E82GNO5N", "SE-000273174")</f>
        <v>SE-000273174</v>
      </c>
      <c r="D1547" s="4" t="s">
        <v>11</v>
      </c>
      <c r="E1547" s="5">
        <v>0</v>
      </c>
      <c r="F1547" s="5">
        <v>0</v>
      </c>
      <c r="G1547" s="5">
        <v>0</v>
      </c>
      <c r="H1547" s="4" t="s">
        <v>11</v>
      </c>
      <c r="I1547" s="5">
        <v>0</v>
      </c>
      <c r="J1547" s="4">
        <v>45916.294282407405</v>
      </c>
    </row>
    <row r="1548" spans="1:10" x14ac:dyDescent="0.2">
      <c r="A1548" s="2" t="s">
        <v>10</v>
      </c>
      <c r="B1548" s="3" t="str">
        <f t="shared" si="34"/>
        <v>France - HCP Survey Email - June 2025</v>
      </c>
      <c r="C1548" s="3" t="str">
        <f>HYPERLINK("https://otsuka-europe-crm.veevavault.com/ui/#object/sent_email__v/VBLZ025E82GNO5O", "SE-000273175")</f>
        <v>SE-000273175</v>
      </c>
      <c r="D1548" s="4" t="s">
        <v>11</v>
      </c>
      <c r="E1548" s="5">
        <v>0</v>
      </c>
      <c r="F1548" s="5">
        <v>0</v>
      </c>
      <c r="G1548" s="5">
        <v>0</v>
      </c>
      <c r="H1548" s="4" t="s">
        <v>11</v>
      </c>
      <c r="I1548" s="5">
        <v>0</v>
      </c>
      <c r="J1548" s="4">
        <v>45916.294918981483</v>
      </c>
    </row>
    <row r="1549" spans="1:10" x14ac:dyDescent="0.2">
      <c r="A1549" s="2" t="s">
        <v>10</v>
      </c>
      <c r="B1549" s="3" t="str">
        <f t="shared" si="34"/>
        <v>France - HCP Survey Email - June 2025</v>
      </c>
      <c r="C1549" s="3" t="str">
        <f>HYPERLINK("https://otsuka-europe-crm.veevavault.com/ui/#object/sent_email__v/VBLZ025E82GNO5P", "SE-000273176")</f>
        <v>SE-000273176</v>
      </c>
      <c r="D1549" s="4">
        <v>45916.439097222225</v>
      </c>
      <c r="E1549" s="5">
        <v>1</v>
      </c>
      <c r="F1549" s="5">
        <v>3</v>
      </c>
      <c r="G1549" s="5">
        <v>0</v>
      </c>
      <c r="H1549" s="4" t="s">
        <v>11</v>
      </c>
      <c r="I1549" s="5">
        <v>0</v>
      </c>
      <c r="J1549" s="4">
        <v>45916.294537037036</v>
      </c>
    </row>
    <row r="1550" spans="1:10" x14ac:dyDescent="0.2">
      <c r="A1550" s="2" t="s">
        <v>10</v>
      </c>
      <c r="B1550" s="3" t="str">
        <f t="shared" si="34"/>
        <v>France - HCP Survey Email - June 2025</v>
      </c>
      <c r="C1550" s="3" t="str">
        <f>HYPERLINK("https://otsuka-europe-crm.veevavault.com/ui/#object/sent_email__v/VBLZ025E82GNO5R", "SE-000273178")</f>
        <v>SE-000273178</v>
      </c>
      <c r="D1550" s="4">
        <v>45916.360995370371</v>
      </c>
      <c r="E1550" s="5">
        <v>1</v>
      </c>
      <c r="F1550" s="5">
        <v>1</v>
      </c>
      <c r="G1550" s="5">
        <v>0</v>
      </c>
      <c r="H1550" s="4" t="s">
        <v>11</v>
      </c>
      <c r="I1550" s="5">
        <v>0</v>
      </c>
      <c r="J1550" s="4">
        <v>45916.295104166667</v>
      </c>
    </row>
    <row r="1551" spans="1:10" x14ac:dyDescent="0.2">
      <c r="A1551" s="2" t="s">
        <v>10</v>
      </c>
      <c r="B1551" s="3" t="str">
        <f t="shared" si="34"/>
        <v>France - HCP Survey Email - June 2025</v>
      </c>
      <c r="C1551" s="3" t="str">
        <f>HYPERLINK("https://otsuka-europe-crm.veevavault.com/ui/#object/sent_email__v/VBLZ025E82GNO5S", "SE-000273179")</f>
        <v>SE-000273179</v>
      </c>
      <c r="D1551" s="4" t="s">
        <v>11</v>
      </c>
      <c r="E1551" s="5">
        <v>0</v>
      </c>
      <c r="F1551" s="5">
        <v>0</v>
      </c>
      <c r="G1551" s="5">
        <v>0</v>
      </c>
      <c r="H1551" s="4" t="s">
        <v>11</v>
      </c>
      <c r="I1551" s="5">
        <v>0</v>
      </c>
      <c r="J1551" s="4">
        <v>45916.29478009259</v>
      </c>
    </row>
    <row r="1552" spans="1:10" x14ac:dyDescent="0.2">
      <c r="A1552" s="2" t="s">
        <v>10</v>
      </c>
      <c r="B1552" s="3" t="str">
        <f t="shared" si="34"/>
        <v>France - HCP Survey Email - June 2025</v>
      </c>
      <c r="C1552" s="3" t="str">
        <f>HYPERLINK("https://otsuka-europe-crm.veevavault.com/ui/#object/sent_email__v/VBLZ025E82GNO5T", "SE-000273180")</f>
        <v>SE-000273180</v>
      </c>
      <c r="D1552" s="4" t="s">
        <v>11</v>
      </c>
      <c r="E1552" s="5">
        <v>0</v>
      </c>
      <c r="F1552" s="5">
        <v>0</v>
      </c>
      <c r="G1552" s="5">
        <v>0</v>
      </c>
      <c r="H1552" s="4" t="s">
        <v>11</v>
      </c>
      <c r="I1552" s="5">
        <v>0</v>
      </c>
      <c r="J1552" s="4">
        <v>45916.294571759259</v>
      </c>
    </row>
    <row r="1553" spans="1:10" x14ac:dyDescent="0.2">
      <c r="A1553" s="2" t="s">
        <v>10</v>
      </c>
      <c r="B1553" s="3" t="str">
        <f t="shared" si="34"/>
        <v>France - HCP Survey Email - June 2025</v>
      </c>
      <c r="C1553" s="3" t="str">
        <f>HYPERLINK("https://otsuka-europe-crm.veevavault.com/ui/#object/sent_email__v/VBLZ025E82GNO5U", "SE-000273181")</f>
        <v>SE-000273181</v>
      </c>
      <c r="D1553" s="4" t="s">
        <v>11</v>
      </c>
      <c r="E1553" s="5">
        <v>0</v>
      </c>
      <c r="F1553" s="5">
        <v>0</v>
      </c>
      <c r="G1553" s="5">
        <v>0</v>
      </c>
      <c r="H1553" s="4" t="s">
        <v>11</v>
      </c>
      <c r="I1553" s="5">
        <v>0</v>
      </c>
      <c r="J1553" s="4">
        <v>45916.294236111113</v>
      </c>
    </row>
    <row r="1554" spans="1:10" x14ac:dyDescent="0.2">
      <c r="A1554" s="2" t="s">
        <v>10</v>
      </c>
      <c r="B1554" s="3" t="str">
        <f t="shared" si="34"/>
        <v>France - HCP Survey Email - June 2025</v>
      </c>
      <c r="C1554" s="3" t="str">
        <f>HYPERLINK("https://otsuka-europe-crm.veevavault.com/ui/#object/sent_email__v/VBLZ025E82GNO5V", "SE-000273182")</f>
        <v>SE-000273182</v>
      </c>
      <c r="D1554" s="4" t="s">
        <v>11</v>
      </c>
      <c r="E1554" s="5">
        <v>0</v>
      </c>
      <c r="F1554" s="5">
        <v>0</v>
      </c>
      <c r="G1554" s="5">
        <v>0</v>
      </c>
      <c r="H1554" s="4" t="s">
        <v>11</v>
      </c>
      <c r="I1554" s="5">
        <v>0</v>
      </c>
      <c r="J1554" s="4">
        <v>45916.294895833336</v>
      </c>
    </row>
    <row r="1555" spans="1:10" x14ac:dyDescent="0.2">
      <c r="A1555" s="2" t="s">
        <v>10</v>
      </c>
      <c r="B1555" s="3" t="str">
        <f t="shared" si="34"/>
        <v>France - HCP Survey Email - June 2025</v>
      </c>
      <c r="C1555" s="3" t="str">
        <f>HYPERLINK("https://otsuka-europe-crm.veevavault.com/ui/#object/sent_email__v/VBLZ025E82GNO5W", "SE-000273183")</f>
        <v>SE-000273183</v>
      </c>
      <c r="D1555" s="4" t="s">
        <v>11</v>
      </c>
      <c r="E1555" s="5">
        <v>0</v>
      </c>
      <c r="F1555" s="5">
        <v>0</v>
      </c>
      <c r="G1555" s="5">
        <v>0</v>
      </c>
      <c r="H1555" s="4" t="s">
        <v>11</v>
      </c>
      <c r="I1555" s="5">
        <v>0</v>
      </c>
      <c r="J1555" s="4">
        <v>45916.294548611113</v>
      </c>
    </row>
    <row r="1556" spans="1:10" x14ac:dyDescent="0.2">
      <c r="A1556" s="2" t="s">
        <v>10</v>
      </c>
      <c r="B1556" s="3" t="str">
        <f t="shared" si="34"/>
        <v>France - HCP Survey Email - June 2025</v>
      </c>
      <c r="C1556" s="3" t="str">
        <f>HYPERLINK("https://otsuka-europe-crm.veevavault.com/ui/#object/sent_email__v/VBLZ025E82GNO5X", "SE-000273184")</f>
        <v>SE-000273184</v>
      </c>
      <c r="D1556" s="4" t="s">
        <v>11</v>
      </c>
      <c r="E1556" s="5">
        <v>0</v>
      </c>
      <c r="F1556" s="5">
        <v>0</v>
      </c>
      <c r="G1556" s="5">
        <v>0</v>
      </c>
      <c r="H1556" s="4" t="s">
        <v>11</v>
      </c>
      <c r="I1556" s="5">
        <v>0</v>
      </c>
      <c r="J1556" s="4">
        <v>45916.294490740744</v>
      </c>
    </row>
    <row r="1557" spans="1:10" x14ac:dyDescent="0.2">
      <c r="A1557" s="2" t="s">
        <v>10</v>
      </c>
      <c r="B1557" s="3" t="str">
        <f t="shared" si="34"/>
        <v>France - HCP Survey Email - June 2025</v>
      </c>
      <c r="C1557" s="3" t="str">
        <f>HYPERLINK("https://otsuka-europe-crm.veevavault.com/ui/#object/sent_email__v/VBLZ025E82GNO5Y", "SE-000273185")</f>
        <v>SE-000273185</v>
      </c>
      <c r="D1557" s="4" t="s">
        <v>11</v>
      </c>
      <c r="E1557" s="5">
        <v>0</v>
      </c>
      <c r="F1557" s="5">
        <v>0</v>
      </c>
      <c r="G1557" s="5">
        <v>0</v>
      </c>
      <c r="H1557" s="4" t="s">
        <v>11</v>
      </c>
      <c r="I1557" s="5">
        <v>0</v>
      </c>
      <c r="J1557" s="4">
        <v>45916.294212962966</v>
      </c>
    </row>
    <row r="1558" spans="1:10" x14ac:dyDescent="0.2">
      <c r="A1558" s="2" t="s">
        <v>10</v>
      </c>
      <c r="B1558" s="3" t="str">
        <f t="shared" si="34"/>
        <v>France - HCP Survey Email - June 2025</v>
      </c>
      <c r="C1558" s="3" t="str">
        <f>HYPERLINK("https://otsuka-europe-crm.veevavault.com/ui/#object/sent_email__v/VBLZ025E82GNO5Z", "SE-000273186")</f>
        <v>SE-000273186</v>
      </c>
      <c r="D1558" s="4" t="s">
        <v>11</v>
      </c>
      <c r="E1558" s="5">
        <v>0</v>
      </c>
      <c r="F1558" s="5">
        <v>0</v>
      </c>
      <c r="G1558" s="5">
        <v>0</v>
      </c>
      <c r="H1558" s="4" t="s">
        <v>11</v>
      </c>
      <c r="I1558" s="5">
        <v>0</v>
      </c>
      <c r="J1558" s="4">
        <v>45916.294710648152</v>
      </c>
    </row>
    <row r="1559" spans="1:10" x14ac:dyDescent="0.2">
      <c r="A1559" s="2" t="s">
        <v>10</v>
      </c>
      <c r="B1559" s="3" t="str">
        <f t="shared" si="34"/>
        <v>France - HCP Survey Email - June 2025</v>
      </c>
      <c r="C1559" s="3" t="str">
        <f>HYPERLINK("https://otsuka-europe-crm.veevavault.com/ui/#object/sent_email__v/VBLZ025E82GNO60", "SE-000273187")</f>
        <v>SE-000273187</v>
      </c>
      <c r="D1559" s="4" t="s">
        <v>11</v>
      </c>
      <c r="E1559" s="5">
        <v>0</v>
      </c>
      <c r="F1559" s="5">
        <v>0</v>
      </c>
      <c r="G1559" s="5">
        <v>0</v>
      </c>
      <c r="H1559" s="4" t="s">
        <v>11</v>
      </c>
      <c r="I1559" s="5">
        <v>0</v>
      </c>
      <c r="J1559" s="4">
        <v>45916.294490740744</v>
      </c>
    </row>
    <row r="1560" spans="1:10" x14ac:dyDescent="0.2">
      <c r="A1560" s="2" t="s">
        <v>10</v>
      </c>
      <c r="B1560" s="3" t="str">
        <f t="shared" si="34"/>
        <v>France - HCP Survey Email - June 2025</v>
      </c>
      <c r="C1560" s="3" t="str">
        <f>HYPERLINK("https://otsuka-europe-crm.veevavault.com/ui/#object/sent_email__v/VBLZ025E82GNO61", "SE-000273188")</f>
        <v>SE-000273188</v>
      </c>
      <c r="D1560" s="4" t="s">
        <v>11</v>
      </c>
      <c r="E1560" s="5">
        <v>0</v>
      </c>
      <c r="F1560" s="5">
        <v>0</v>
      </c>
      <c r="G1560" s="5">
        <v>0</v>
      </c>
      <c r="H1560" s="4" t="s">
        <v>11</v>
      </c>
      <c r="I1560" s="5">
        <v>0</v>
      </c>
      <c r="J1560" s="4">
        <v>45916.294317129628</v>
      </c>
    </row>
    <row r="1561" spans="1:10" x14ac:dyDescent="0.2">
      <c r="A1561" s="2" t="s">
        <v>10</v>
      </c>
      <c r="B1561" s="3" t="str">
        <f t="shared" si="34"/>
        <v>France - HCP Survey Email - June 2025</v>
      </c>
      <c r="C1561" s="3" t="str">
        <f>HYPERLINK("https://otsuka-europe-crm.veevavault.com/ui/#object/sent_email__v/VBLZ025E82GNO62", "SE-000273189")</f>
        <v>SE-000273189</v>
      </c>
      <c r="D1561" s="4" t="s">
        <v>11</v>
      </c>
      <c r="E1561" s="5">
        <v>0</v>
      </c>
      <c r="F1561" s="5">
        <v>0</v>
      </c>
      <c r="G1561" s="5">
        <v>0</v>
      </c>
      <c r="H1561" s="4" t="s">
        <v>11</v>
      </c>
      <c r="I1561" s="5">
        <v>0</v>
      </c>
      <c r="J1561" s="4">
        <v>45916.295046296298</v>
      </c>
    </row>
    <row r="1562" spans="1:10" x14ac:dyDescent="0.2">
      <c r="A1562" s="2" t="s">
        <v>10</v>
      </c>
      <c r="B1562" s="3" t="str">
        <f t="shared" si="34"/>
        <v>France - HCP Survey Email - June 2025</v>
      </c>
      <c r="C1562" s="3" t="str">
        <f>HYPERLINK("https://otsuka-europe-crm.veevavault.com/ui/#object/sent_email__v/VBLZ025E82GNO63", "SE-000273190")</f>
        <v>SE-000273190</v>
      </c>
      <c r="D1562" s="4" t="s">
        <v>11</v>
      </c>
      <c r="E1562" s="5">
        <v>0</v>
      </c>
      <c r="F1562" s="5">
        <v>0</v>
      </c>
      <c r="G1562" s="5">
        <v>0</v>
      </c>
      <c r="H1562" s="4" t="s">
        <v>11</v>
      </c>
      <c r="I1562" s="5">
        <v>0</v>
      </c>
      <c r="J1562" s="4">
        <v>45916.294745370367</v>
      </c>
    </row>
    <row r="1563" spans="1:10" x14ac:dyDescent="0.2">
      <c r="A1563" s="2" t="s">
        <v>10</v>
      </c>
      <c r="B1563" s="3" t="str">
        <f t="shared" si="34"/>
        <v>France - HCP Survey Email - June 2025</v>
      </c>
      <c r="C1563" s="3" t="str">
        <f>HYPERLINK("https://otsuka-europe-crm.veevavault.com/ui/#object/sent_email__v/VBLZ025E82GNO64", "SE-000273191")</f>
        <v>SE-000273191</v>
      </c>
      <c r="D1563" s="4" t="s">
        <v>11</v>
      </c>
      <c r="E1563" s="5">
        <v>0</v>
      </c>
      <c r="F1563" s="5">
        <v>0</v>
      </c>
      <c r="G1563" s="5">
        <v>0</v>
      </c>
      <c r="H1563" s="4" t="s">
        <v>11</v>
      </c>
      <c r="I1563" s="5">
        <v>0</v>
      </c>
      <c r="J1563" s="4">
        <v>45916.294525462959</v>
      </c>
    </row>
    <row r="1564" spans="1:10" x14ac:dyDescent="0.2">
      <c r="A1564" s="2" t="s">
        <v>10</v>
      </c>
      <c r="B1564" s="3" t="str">
        <f t="shared" si="34"/>
        <v>France - HCP Survey Email - June 2025</v>
      </c>
      <c r="C1564" s="3" t="str">
        <f>HYPERLINK("https://otsuka-europe-crm.veevavault.com/ui/#object/sent_email__v/VBLZ025E82GNO65", "SE-000273192")</f>
        <v>SE-000273192</v>
      </c>
      <c r="D1564" s="4" t="s">
        <v>11</v>
      </c>
      <c r="E1564" s="5">
        <v>0</v>
      </c>
      <c r="F1564" s="5">
        <v>0</v>
      </c>
      <c r="G1564" s="5">
        <v>0</v>
      </c>
      <c r="H1564" s="4" t="s">
        <v>11</v>
      </c>
      <c r="I1564" s="5">
        <v>0</v>
      </c>
      <c r="J1564" s="4">
        <v>45916.294293981482</v>
      </c>
    </row>
    <row r="1565" spans="1:10" x14ac:dyDescent="0.2">
      <c r="A1565" s="2" t="s">
        <v>10</v>
      </c>
      <c r="B1565" s="3" t="str">
        <f t="shared" si="34"/>
        <v>France - HCP Survey Email - June 2025</v>
      </c>
      <c r="C1565" s="3" t="str">
        <f>HYPERLINK("https://otsuka-europe-crm.veevavault.com/ui/#object/sent_email__v/VBLZ025E82GNO66", "SE-000273193")</f>
        <v>SE-000273193</v>
      </c>
      <c r="D1565" s="4" t="s">
        <v>11</v>
      </c>
      <c r="E1565" s="5">
        <v>0</v>
      </c>
      <c r="F1565" s="5">
        <v>0</v>
      </c>
      <c r="G1565" s="5">
        <v>0</v>
      </c>
      <c r="H1565" s="4" t="s">
        <v>11</v>
      </c>
      <c r="I1565" s="5">
        <v>0</v>
      </c>
      <c r="J1565" s="4">
        <v>45916.294814814813</v>
      </c>
    </row>
    <row r="1566" spans="1:10" x14ac:dyDescent="0.2">
      <c r="A1566" s="2" t="s">
        <v>10</v>
      </c>
      <c r="B1566" s="3" t="str">
        <f t="shared" si="34"/>
        <v>France - HCP Survey Email - June 2025</v>
      </c>
      <c r="C1566" s="3" t="str">
        <f>HYPERLINK("https://otsuka-europe-crm.veevavault.com/ui/#object/sent_email__v/VBLZ025E82GNO67", "SE-000273194")</f>
        <v>SE-000273194</v>
      </c>
      <c r="D1566" s="4" t="s">
        <v>11</v>
      </c>
      <c r="E1566" s="5">
        <v>0</v>
      </c>
      <c r="F1566" s="5">
        <v>0</v>
      </c>
      <c r="G1566" s="5">
        <v>0</v>
      </c>
      <c r="H1566" s="4" t="s">
        <v>11</v>
      </c>
      <c r="I1566" s="5">
        <v>0</v>
      </c>
      <c r="J1566" s="4">
        <v>45916.294583333336</v>
      </c>
    </row>
    <row r="1567" spans="1:10" x14ac:dyDescent="0.2">
      <c r="A1567" s="2" t="s">
        <v>10</v>
      </c>
      <c r="B1567" s="3" t="str">
        <f t="shared" si="34"/>
        <v>France - HCP Survey Email - June 2025</v>
      </c>
      <c r="C1567" s="3" t="str">
        <f>HYPERLINK("https://otsuka-europe-crm.veevavault.com/ui/#object/sent_email__v/VBLZ025E82GNO68", "SE-000273195")</f>
        <v>SE-000273195</v>
      </c>
      <c r="D1567" s="4" t="s">
        <v>11</v>
      </c>
      <c r="E1567" s="5">
        <v>0</v>
      </c>
      <c r="F1567" s="5">
        <v>0</v>
      </c>
      <c r="G1567" s="5">
        <v>0</v>
      </c>
      <c r="H1567" s="4" t="s">
        <v>11</v>
      </c>
      <c r="I1567" s="5">
        <v>0</v>
      </c>
      <c r="J1567" s="4">
        <v>45916.29446759259</v>
      </c>
    </row>
    <row r="1568" spans="1:10" x14ac:dyDescent="0.2">
      <c r="A1568" s="2" t="s">
        <v>10</v>
      </c>
      <c r="B1568" s="3" t="str">
        <f t="shared" si="34"/>
        <v>France - HCP Survey Email - June 2025</v>
      </c>
      <c r="C1568" s="3" t="str">
        <f>HYPERLINK("https://otsuka-europe-crm.veevavault.com/ui/#object/sent_email__v/VBLZ025E82GNO69", "SE-000273196")</f>
        <v>SE-000273196</v>
      </c>
      <c r="D1568" s="4" t="s">
        <v>11</v>
      </c>
      <c r="E1568" s="5">
        <v>0</v>
      </c>
      <c r="F1568" s="5">
        <v>0</v>
      </c>
      <c r="G1568" s="5">
        <v>0</v>
      </c>
      <c r="H1568" s="4" t="s">
        <v>11</v>
      </c>
      <c r="I1568" s="5">
        <v>0</v>
      </c>
      <c r="J1568" s="4">
        <v>45916.294293981482</v>
      </c>
    </row>
    <row r="1569" spans="1:10" x14ac:dyDescent="0.2">
      <c r="A1569" s="2" t="s">
        <v>10</v>
      </c>
      <c r="B1569" s="3" t="str">
        <f t="shared" si="34"/>
        <v>France - HCP Survey Email - June 2025</v>
      </c>
      <c r="C1569" s="3" t="str">
        <f>HYPERLINK("https://otsuka-europe-crm.veevavault.com/ui/#object/sent_email__v/VBLZ025E82GNO6A", "SE-000273197")</f>
        <v>SE-000273197</v>
      </c>
      <c r="D1569" s="4" t="s">
        <v>11</v>
      </c>
      <c r="E1569" s="5">
        <v>0</v>
      </c>
      <c r="F1569" s="5">
        <v>0</v>
      </c>
      <c r="G1569" s="5">
        <v>0</v>
      </c>
      <c r="H1569" s="4" t="s">
        <v>11</v>
      </c>
      <c r="I1569" s="5">
        <v>0</v>
      </c>
      <c r="J1569" s="4">
        <v>45916.294895833336</v>
      </c>
    </row>
    <row r="1570" spans="1:10" x14ac:dyDescent="0.2">
      <c r="A1570" s="2" t="s">
        <v>10</v>
      </c>
      <c r="B1570" s="3" t="str">
        <f t="shared" si="34"/>
        <v>France - HCP Survey Email - June 2025</v>
      </c>
      <c r="C1570" s="3" t="str">
        <f>HYPERLINK("https://otsuka-europe-crm.veevavault.com/ui/#object/sent_email__v/VBLZ025E82GNO6C", "SE-000273199")</f>
        <v>SE-000273199</v>
      </c>
      <c r="D1570" s="4" t="s">
        <v>11</v>
      </c>
      <c r="E1570" s="5">
        <v>0</v>
      </c>
      <c r="F1570" s="5">
        <v>0</v>
      </c>
      <c r="G1570" s="5">
        <v>0</v>
      </c>
      <c r="H1570" s="4" t="s">
        <v>11</v>
      </c>
      <c r="I1570" s="5">
        <v>0</v>
      </c>
      <c r="J1570" s="4">
        <v>45916.294317129628</v>
      </c>
    </row>
    <row r="1571" spans="1:10" x14ac:dyDescent="0.2">
      <c r="A1571" s="2" t="s">
        <v>10</v>
      </c>
      <c r="B1571" s="3" t="str">
        <f t="shared" si="34"/>
        <v>France - HCP Survey Email - June 2025</v>
      </c>
      <c r="C1571" s="3" t="str">
        <f>HYPERLINK("https://otsuka-europe-crm.veevavault.com/ui/#object/sent_email__v/VBLZ025E82GNO6D", "SE-000273200")</f>
        <v>SE-000273200</v>
      </c>
      <c r="D1571" s="4" t="s">
        <v>11</v>
      </c>
      <c r="E1571" s="5">
        <v>0</v>
      </c>
      <c r="F1571" s="5">
        <v>0</v>
      </c>
      <c r="G1571" s="5">
        <v>0</v>
      </c>
      <c r="H1571" s="4" t="s">
        <v>11</v>
      </c>
      <c r="I1571" s="5">
        <v>0</v>
      </c>
      <c r="J1571" s="4">
        <v>45916.294872685183</v>
      </c>
    </row>
    <row r="1572" spans="1:10" x14ac:dyDescent="0.2">
      <c r="A1572" s="2" t="s">
        <v>10</v>
      </c>
      <c r="B1572" s="3" t="str">
        <f t="shared" si="34"/>
        <v>France - HCP Survey Email - June 2025</v>
      </c>
      <c r="C1572" s="3" t="str">
        <f>HYPERLINK("https://otsuka-europe-crm.veevavault.com/ui/#object/sent_email__v/VBLZ025E82GNO6E", "SE-000273201")</f>
        <v>SE-000273201</v>
      </c>
      <c r="D1572" s="4">
        <v>45924.003761574073</v>
      </c>
      <c r="E1572" s="5">
        <v>1</v>
      </c>
      <c r="F1572" s="5">
        <v>3</v>
      </c>
      <c r="G1572" s="5">
        <v>0</v>
      </c>
      <c r="H1572" s="4" t="s">
        <v>11</v>
      </c>
      <c r="I1572" s="5">
        <v>0</v>
      </c>
      <c r="J1572" s="4">
        <v>45916.294861111113</v>
      </c>
    </row>
    <row r="1573" spans="1:10" x14ac:dyDescent="0.2">
      <c r="A1573" s="2" t="s">
        <v>10</v>
      </c>
      <c r="B1573" s="3" t="str">
        <f t="shared" si="34"/>
        <v>France - HCP Survey Email - June 2025</v>
      </c>
      <c r="C1573" s="3" t="str">
        <f>HYPERLINK("https://otsuka-europe-crm.veevavault.com/ui/#object/sent_email__v/VBLZ025E82GNO6F", "SE-000273202")</f>
        <v>SE-000273202</v>
      </c>
      <c r="D1573" s="4" t="s">
        <v>11</v>
      </c>
      <c r="E1573" s="5">
        <v>0</v>
      </c>
      <c r="F1573" s="5">
        <v>0</v>
      </c>
      <c r="G1573" s="5">
        <v>0</v>
      </c>
      <c r="H1573" s="4" t="s">
        <v>11</v>
      </c>
      <c r="I1573" s="5">
        <v>0</v>
      </c>
      <c r="J1573" s="4">
        <v>45916.294537037036</v>
      </c>
    </row>
    <row r="1574" spans="1:10" x14ac:dyDescent="0.2">
      <c r="A1574" s="2" t="s">
        <v>10</v>
      </c>
      <c r="B1574" s="3" t="str">
        <f t="shared" si="34"/>
        <v>France - HCP Survey Email - June 2025</v>
      </c>
      <c r="C1574" s="3" t="str">
        <f>HYPERLINK("https://otsuka-europe-crm.veevavault.com/ui/#object/sent_email__v/VBLZ025E82GNO6G", "SE-000273203")</f>
        <v>SE-000273203</v>
      </c>
      <c r="D1574" s="4" t="s">
        <v>11</v>
      </c>
      <c r="E1574" s="5">
        <v>0</v>
      </c>
      <c r="F1574" s="5">
        <v>0</v>
      </c>
      <c r="G1574" s="5">
        <v>0</v>
      </c>
      <c r="H1574" s="4" t="s">
        <v>11</v>
      </c>
      <c r="I1574" s="5">
        <v>0</v>
      </c>
      <c r="J1574" s="4">
        <v>45916.294236111113</v>
      </c>
    </row>
    <row r="1575" spans="1:10" x14ac:dyDescent="0.2">
      <c r="A1575" s="2" t="s">
        <v>10</v>
      </c>
      <c r="B1575" s="3" t="str">
        <f t="shared" si="34"/>
        <v>France - HCP Survey Email - June 2025</v>
      </c>
      <c r="C1575" s="3" t="str">
        <f>HYPERLINK("https://otsuka-europe-crm.veevavault.com/ui/#object/sent_email__v/VBLZ025E82GNO6H", "SE-000273204")</f>
        <v>SE-000273204</v>
      </c>
      <c r="D1575" s="4">
        <v>45916.383240740739</v>
      </c>
      <c r="E1575" s="5">
        <v>1</v>
      </c>
      <c r="F1575" s="5">
        <v>1</v>
      </c>
      <c r="G1575" s="5">
        <v>0</v>
      </c>
      <c r="H1575" s="4" t="s">
        <v>11</v>
      </c>
      <c r="I1575" s="5">
        <v>0</v>
      </c>
      <c r="J1575" s="4">
        <v>45916.294907407406</v>
      </c>
    </row>
    <row r="1576" spans="1:10" x14ac:dyDescent="0.2">
      <c r="A1576" s="2" t="s">
        <v>10</v>
      </c>
      <c r="B1576" s="3" t="str">
        <f t="shared" si="34"/>
        <v>France - HCP Survey Email - June 2025</v>
      </c>
      <c r="C1576" s="3" t="str">
        <f>HYPERLINK("https://otsuka-europe-crm.veevavault.com/ui/#object/sent_email__v/VBLZ025E82GNO6I", "SE-000273205")</f>
        <v>SE-000273205</v>
      </c>
      <c r="D1576" s="4" t="s">
        <v>11</v>
      </c>
      <c r="E1576" s="5">
        <v>0</v>
      </c>
      <c r="F1576" s="5">
        <v>0</v>
      </c>
      <c r="G1576" s="5">
        <v>0</v>
      </c>
      <c r="H1576" s="4" t="s">
        <v>11</v>
      </c>
      <c r="I1576" s="5">
        <v>0</v>
      </c>
      <c r="J1576" s="4">
        <v>45916.294768518521</v>
      </c>
    </row>
    <row r="1577" spans="1:10" x14ac:dyDescent="0.2">
      <c r="A1577" s="2" t="s">
        <v>10</v>
      </c>
      <c r="B1577" s="3" t="str">
        <f t="shared" si="34"/>
        <v>France - HCP Survey Email - June 2025</v>
      </c>
      <c r="C1577" s="3" t="str">
        <f>HYPERLINK("https://otsuka-europe-crm.veevavault.com/ui/#object/sent_email__v/VBLZ025E82GNO6J", "SE-000273206")</f>
        <v>SE-000273206</v>
      </c>
      <c r="D1577" s="4">
        <v>45916.299502314818</v>
      </c>
      <c r="E1577" s="5">
        <v>1</v>
      </c>
      <c r="F1577" s="5">
        <v>1</v>
      </c>
      <c r="G1577" s="5">
        <v>0</v>
      </c>
      <c r="H1577" s="4" t="s">
        <v>11</v>
      </c>
      <c r="I1577" s="5">
        <v>0</v>
      </c>
      <c r="J1577" s="4">
        <v>45916.294537037036</v>
      </c>
    </row>
    <row r="1578" spans="1:10" x14ac:dyDescent="0.2">
      <c r="A1578" s="2" t="s">
        <v>10</v>
      </c>
      <c r="B1578" s="3" t="str">
        <f t="shared" si="34"/>
        <v>France - HCP Survey Email - June 2025</v>
      </c>
      <c r="C1578" s="3" t="str">
        <f>HYPERLINK("https://otsuka-europe-crm.veevavault.com/ui/#object/sent_email__v/VBLZ025E82GNO6K", "SE-000273207")</f>
        <v>SE-000273207</v>
      </c>
      <c r="D1578" s="4" t="s">
        <v>11</v>
      </c>
      <c r="E1578" s="5">
        <v>0</v>
      </c>
      <c r="F1578" s="5">
        <v>0</v>
      </c>
      <c r="G1578" s="5">
        <v>0</v>
      </c>
      <c r="H1578" s="4" t="s">
        <v>11</v>
      </c>
      <c r="I1578" s="5">
        <v>0</v>
      </c>
      <c r="J1578" s="4">
        <v>45916.294340277775</v>
      </c>
    </row>
    <row r="1579" spans="1:10" x14ac:dyDescent="0.2">
      <c r="A1579" s="2" t="s">
        <v>10</v>
      </c>
      <c r="B1579" s="3" t="str">
        <f t="shared" si="34"/>
        <v>France - HCP Survey Email - June 2025</v>
      </c>
      <c r="C1579" s="3" t="str">
        <f>HYPERLINK("https://otsuka-europe-crm.veevavault.com/ui/#object/sent_email__v/VBLZ025E82GNO6L", "SE-000273208")</f>
        <v>SE-000273208</v>
      </c>
      <c r="D1579" s="4" t="s">
        <v>11</v>
      </c>
      <c r="E1579" s="5">
        <v>0</v>
      </c>
      <c r="F1579" s="5">
        <v>0</v>
      </c>
      <c r="G1579" s="5">
        <v>0</v>
      </c>
      <c r="H1579" s="4" t="s">
        <v>11</v>
      </c>
      <c r="I1579" s="5">
        <v>0</v>
      </c>
      <c r="J1579" s="4">
        <v>45916.29482638889</v>
      </c>
    </row>
    <row r="1580" spans="1:10" x14ac:dyDescent="0.2">
      <c r="A1580" s="2" t="s">
        <v>10</v>
      </c>
      <c r="B1580" s="3" t="str">
        <f t="shared" si="34"/>
        <v>France - HCP Survey Email - June 2025</v>
      </c>
      <c r="C1580" s="3" t="str">
        <f>HYPERLINK("https://otsuka-europe-crm.veevavault.com/ui/#object/sent_email__v/VBLZ025E82GNO6M", "SE-000273209")</f>
        <v>SE-000273209</v>
      </c>
      <c r="D1580" s="4">
        <v>45943.955694444441</v>
      </c>
      <c r="E1580" s="5">
        <v>1</v>
      </c>
      <c r="F1580" s="5">
        <v>2</v>
      </c>
      <c r="G1580" s="5">
        <v>0</v>
      </c>
      <c r="H1580" s="4" t="s">
        <v>11</v>
      </c>
      <c r="I1580" s="5">
        <v>0</v>
      </c>
      <c r="J1580" s="4">
        <v>45916.294629629629</v>
      </c>
    </row>
    <row r="1581" spans="1:10" x14ac:dyDescent="0.2">
      <c r="A1581" s="2" t="s">
        <v>10</v>
      </c>
      <c r="B1581" s="3" t="str">
        <f t="shared" si="34"/>
        <v>France - HCP Survey Email - June 2025</v>
      </c>
      <c r="C1581" s="3" t="str">
        <f>HYPERLINK("https://otsuka-europe-crm.veevavault.com/ui/#object/sent_email__v/VBLZ025E82GNO6O", "SE-000273211")</f>
        <v>SE-000273211</v>
      </c>
      <c r="D1581" s="4" t="s">
        <v>11</v>
      </c>
      <c r="E1581" s="5">
        <v>0</v>
      </c>
      <c r="F1581" s="5">
        <v>0</v>
      </c>
      <c r="G1581" s="5">
        <v>0</v>
      </c>
      <c r="H1581" s="4" t="s">
        <v>11</v>
      </c>
      <c r="I1581" s="5">
        <v>0</v>
      </c>
      <c r="J1581" s="4">
        <v>45916.294270833336</v>
      </c>
    </row>
    <row r="1582" spans="1:10" x14ac:dyDescent="0.2">
      <c r="A1582" s="2" t="s">
        <v>10</v>
      </c>
      <c r="B1582" s="3" t="str">
        <f t="shared" si="34"/>
        <v>France - HCP Survey Email - June 2025</v>
      </c>
      <c r="C1582" s="3" t="str">
        <f>HYPERLINK("https://otsuka-europe-crm.veevavault.com/ui/#object/sent_email__v/VBLZ025E82GNO6P", "SE-000273212")</f>
        <v>SE-000273212</v>
      </c>
      <c r="D1582" s="4">
        <v>45916.436111111114</v>
      </c>
      <c r="E1582" s="5">
        <v>1</v>
      </c>
      <c r="F1582" s="5">
        <v>2</v>
      </c>
      <c r="G1582" s="5">
        <v>0</v>
      </c>
      <c r="H1582" s="4" t="s">
        <v>11</v>
      </c>
      <c r="I1582" s="5">
        <v>0</v>
      </c>
      <c r="J1582" s="4">
        <v>45916.294895833336</v>
      </c>
    </row>
    <row r="1583" spans="1:10" x14ac:dyDescent="0.2">
      <c r="A1583" s="2" t="s">
        <v>10</v>
      </c>
      <c r="B1583" s="3" t="str">
        <f t="shared" si="34"/>
        <v>France - HCP Survey Email - June 2025</v>
      </c>
      <c r="C1583" s="3" t="str">
        <f>HYPERLINK("https://otsuka-europe-crm.veevavault.com/ui/#object/sent_email__v/VBLZ025E82GNO6Q", "SE-000273213")</f>
        <v>SE-000273213</v>
      </c>
      <c r="D1583" s="4">
        <v>45916.461493055554</v>
      </c>
      <c r="E1583" s="5">
        <v>1</v>
      </c>
      <c r="F1583" s="5">
        <v>1</v>
      </c>
      <c r="G1583" s="5">
        <v>0</v>
      </c>
      <c r="H1583" s="4" t="s">
        <v>11</v>
      </c>
      <c r="I1583" s="5">
        <v>0</v>
      </c>
      <c r="J1583" s="4">
        <v>45916.294490740744</v>
      </c>
    </row>
    <row r="1584" spans="1:10" x14ac:dyDescent="0.2">
      <c r="A1584" s="2" t="s">
        <v>10</v>
      </c>
      <c r="B1584" s="3" t="str">
        <f t="shared" si="34"/>
        <v>France - HCP Survey Email - June 2025</v>
      </c>
      <c r="C1584" s="3" t="str">
        <f>HYPERLINK("https://otsuka-europe-crm.veevavault.com/ui/#object/sent_email__v/VBLZ025E82GNO6R", "SE-000273214")</f>
        <v>SE-000273214</v>
      </c>
      <c r="D1584" s="4" t="s">
        <v>11</v>
      </c>
      <c r="E1584" s="5">
        <v>0</v>
      </c>
      <c r="F1584" s="5">
        <v>0</v>
      </c>
      <c r="G1584" s="5">
        <v>0</v>
      </c>
      <c r="H1584" s="4" t="s">
        <v>11</v>
      </c>
      <c r="I1584" s="5">
        <v>0</v>
      </c>
      <c r="J1584" s="4">
        <v>45916.294340277775</v>
      </c>
    </row>
    <row r="1585" spans="1:10" x14ac:dyDescent="0.2">
      <c r="A1585" s="2" t="s">
        <v>10</v>
      </c>
      <c r="B1585" s="3" t="str">
        <f t="shared" si="34"/>
        <v>France - HCP Survey Email - June 2025</v>
      </c>
      <c r="C1585" s="3" t="str">
        <f>HYPERLINK("https://otsuka-europe-crm.veevavault.com/ui/#object/sent_email__v/VBLZ025E82GNO6S", "SE-000273215")</f>
        <v>SE-000273215</v>
      </c>
      <c r="D1585" s="4" t="s">
        <v>11</v>
      </c>
      <c r="E1585" s="5">
        <v>0</v>
      </c>
      <c r="F1585" s="5">
        <v>0</v>
      </c>
      <c r="G1585" s="5">
        <v>0</v>
      </c>
      <c r="H1585" s="4" t="s">
        <v>11</v>
      </c>
      <c r="I1585" s="5">
        <v>0</v>
      </c>
      <c r="J1585" s="4">
        <v>45916.294976851852</v>
      </c>
    </row>
    <row r="1586" spans="1:10" x14ac:dyDescent="0.2">
      <c r="A1586" s="2" t="s">
        <v>10</v>
      </c>
      <c r="B1586" s="3" t="str">
        <f t="shared" si="34"/>
        <v>France - HCP Survey Email - June 2025</v>
      </c>
      <c r="C1586" s="3" t="str">
        <f>HYPERLINK("https://otsuka-europe-crm.veevavault.com/ui/#object/sent_email__v/VBLZ025E82GNO6T", "SE-000273216")</f>
        <v>SE-000273216</v>
      </c>
      <c r="D1586" s="4" t="s">
        <v>11</v>
      </c>
      <c r="E1586" s="5">
        <v>0</v>
      </c>
      <c r="F1586" s="5">
        <v>0</v>
      </c>
      <c r="G1586" s="5">
        <v>0</v>
      </c>
      <c r="H1586" s="4" t="s">
        <v>11</v>
      </c>
      <c r="I1586" s="5">
        <v>0</v>
      </c>
      <c r="J1586" s="4">
        <v>45916.294895833336</v>
      </c>
    </row>
    <row r="1587" spans="1:10" x14ac:dyDescent="0.2">
      <c r="A1587" s="2" t="s">
        <v>10</v>
      </c>
      <c r="B1587" s="3" t="str">
        <f t="shared" si="34"/>
        <v>France - HCP Survey Email - June 2025</v>
      </c>
      <c r="C1587" s="3" t="str">
        <f>HYPERLINK("https://otsuka-europe-crm.veevavault.com/ui/#object/sent_email__v/VBLZ025E82GNO6U", "SE-000273217")</f>
        <v>SE-000273217</v>
      </c>
      <c r="D1587" s="4" t="s">
        <v>11</v>
      </c>
      <c r="E1587" s="5">
        <v>0</v>
      </c>
      <c r="F1587" s="5">
        <v>0</v>
      </c>
      <c r="G1587" s="5">
        <v>0</v>
      </c>
      <c r="H1587" s="4" t="s">
        <v>11</v>
      </c>
      <c r="I1587" s="5">
        <v>0</v>
      </c>
      <c r="J1587" s="4">
        <v>45916.294502314813</v>
      </c>
    </row>
    <row r="1588" spans="1:10" x14ac:dyDescent="0.2">
      <c r="A1588" s="2" t="s">
        <v>10</v>
      </c>
      <c r="B1588" s="3" t="str">
        <f t="shared" si="34"/>
        <v>France - HCP Survey Email - June 2025</v>
      </c>
      <c r="C1588" s="3" t="str">
        <f>HYPERLINK("https://otsuka-europe-crm.veevavault.com/ui/#object/sent_email__v/VBLZ025E82GNO6V", "SE-000273218")</f>
        <v>SE-000273218</v>
      </c>
      <c r="D1588" s="4" t="s">
        <v>11</v>
      </c>
      <c r="E1588" s="5">
        <v>0</v>
      </c>
      <c r="F1588" s="5">
        <v>0</v>
      </c>
      <c r="G1588" s="5">
        <v>0</v>
      </c>
      <c r="H1588" s="4" t="s">
        <v>11</v>
      </c>
      <c r="I1588" s="5">
        <v>0</v>
      </c>
      <c r="J1588" s="4">
        <v>45916.294189814813</v>
      </c>
    </row>
    <row r="1589" spans="1:10" x14ac:dyDescent="0.2">
      <c r="A1589" s="2" t="s">
        <v>10</v>
      </c>
      <c r="B1589" s="3" t="str">
        <f t="shared" si="34"/>
        <v>France - HCP Survey Email - June 2025</v>
      </c>
      <c r="C1589" s="3" t="str">
        <f>HYPERLINK("https://otsuka-europe-crm.veevavault.com/ui/#object/sent_email__v/VBLZ025E82GNO6W", "SE-000273219")</f>
        <v>SE-000273219</v>
      </c>
      <c r="D1589" s="4" t="s">
        <v>11</v>
      </c>
      <c r="E1589" s="5">
        <v>0</v>
      </c>
      <c r="F1589" s="5">
        <v>0</v>
      </c>
      <c r="G1589" s="5">
        <v>0</v>
      </c>
      <c r="H1589" s="4" t="s">
        <v>11</v>
      </c>
      <c r="I1589" s="5">
        <v>0</v>
      </c>
      <c r="J1589" s="4">
        <v>45916.294791666667</v>
      </c>
    </row>
    <row r="1590" spans="1:10" x14ac:dyDescent="0.2">
      <c r="A1590" s="2" t="s">
        <v>10</v>
      </c>
      <c r="B1590" s="3" t="str">
        <f t="shared" si="34"/>
        <v>France - HCP Survey Email - June 2025</v>
      </c>
      <c r="C1590" s="3" t="str">
        <f>HYPERLINK("https://otsuka-europe-crm.veevavault.com/ui/#object/sent_email__v/VBLZ025E82GNO6X", "SE-000273220")</f>
        <v>SE-000273220</v>
      </c>
      <c r="D1590" s="4" t="s">
        <v>11</v>
      </c>
      <c r="E1590" s="5">
        <v>0</v>
      </c>
      <c r="F1590" s="5">
        <v>0</v>
      </c>
      <c r="G1590" s="5">
        <v>0</v>
      </c>
      <c r="H1590" s="4" t="s">
        <v>11</v>
      </c>
      <c r="I1590" s="5">
        <v>0</v>
      </c>
      <c r="J1590" s="4">
        <v>45916.294537037036</v>
      </c>
    </row>
    <row r="1591" spans="1:10" x14ac:dyDescent="0.2">
      <c r="A1591" s="2" t="s">
        <v>10</v>
      </c>
      <c r="B1591" s="3" t="str">
        <f t="shared" si="34"/>
        <v>France - HCP Survey Email - June 2025</v>
      </c>
      <c r="C1591" s="3" t="str">
        <f>HYPERLINK("https://otsuka-europe-crm.veevavault.com/ui/#object/sent_email__v/VBLZ025E82GNO6Y", "SE-000273221")</f>
        <v>SE-000273221</v>
      </c>
      <c r="D1591" s="4" t="s">
        <v>11</v>
      </c>
      <c r="E1591" s="5">
        <v>0</v>
      </c>
      <c r="F1591" s="5">
        <v>0</v>
      </c>
      <c r="G1591" s="5">
        <v>0</v>
      </c>
      <c r="H1591" s="4" t="s">
        <v>11</v>
      </c>
      <c r="I1591" s="5">
        <v>0</v>
      </c>
      <c r="J1591" s="4">
        <v>45916.294490740744</v>
      </c>
    </row>
    <row r="1592" spans="1:10" x14ac:dyDescent="0.2">
      <c r="A1592" s="2" t="s">
        <v>10</v>
      </c>
      <c r="B1592" s="3" t="str">
        <f t="shared" si="34"/>
        <v>France - HCP Survey Email - June 2025</v>
      </c>
      <c r="C1592" s="3" t="str">
        <f>HYPERLINK("https://otsuka-europe-crm.veevavault.com/ui/#object/sent_email__v/VBLZ025E82GNO6Z", "SE-000273222")</f>
        <v>SE-000273222</v>
      </c>
      <c r="D1592" s="4" t="s">
        <v>11</v>
      </c>
      <c r="E1592" s="5">
        <v>0</v>
      </c>
      <c r="F1592" s="5">
        <v>0</v>
      </c>
      <c r="G1592" s="5">
        <v>0</v>
      </c>
      <c r="H1592" s="4" t="s">
        <v>11</v>
      </c>
      <c r="I1592" s="5">
        <v>0</v>
      </c>
      <c r="J1592" s="4">
        <v>45916.294293981482</v>
      </c>
    </row>
    <row r="1593" spans="1:10" x14ac:dyDescent="0.2">
      <c r="A1593" s="2" t="s">
        <v>10</v>
      </c>
      <c r="B1593" s="3" t="str">
        <f t="shared" si="34"/>
        <v>France - HCP Survey Email - June 2025</v>
      </c>
      <c r="C1593" s="3" t="str">
        <f>HYPERLINK("https://otsuka-europe-crm.veevavault.com/ui/#object/sent_email__v/VBLZ025E82GNO70", "SE-000273223")</f>
        <v>SE-000273223</v>
      </c>
      <c r="D1593" s="4" t="s">
        <v>11</v>
      </c>
      <c r="E1593" s="5">
        <v>0</v>
      </c>
      <c r="F1593" s="5">
        <v>0</v>
      </c>
      <c r="G1593" s="5">
        <v>0</v>
      </c>
      <c r="H1593" s="4" t="s">
        <v>11</v>
      </c>
      <c r="I1593" s="5">
        <v>0</v>
      </c>
      <c r="J1593" s="4">
        <v>45916.294942129629</v>
      </c>
    </row>
    <row r="1594" spans="1:10" x14ac:dyDescent="0.2">
      <c r="A1594" s="2" t="s">
        <v>10</v>
      </c>
      <c r="B1594" s="3" t="str">
        <f t="shared" si="34"/>
        <v>France - HCP Survey Email - June 2025</v>
      </c>
      <c r="C1594" s="3" t="str">
        <f>HYPERLINK("https://otsuka-europe-crm.veevavault.com/ui/#object/sent_email__v/VBLZ025E82GNO71", "SE-000273224")</f>
        <v>SE-000273224</v>
      </c>
      <c r="D1594" s="4" t="s">
        <v>11</v>
      </c>
      <c r="E1594" s="5">
        <v>0</v>
      </c>
      <c r="F1594" s="5">
        <v>0</v>
      </c>
      <c r="G1594" s="5">
        <v>0</v>
      </c>
      <c r="H1594" s="4" t="s">
        <v>11</v>
      </c>
      <c r="I1594" s="5">
        <v>0</v>
      </c>
      <c r="J1594" s="4">
        <v>45916.29451388889</v>
      </c>
    </row>
    <row r="1595" spans="1:10" x14ac:dyDescent="0.2">
      <c r="A1595" s="2" t="s">
        <v>10</v>
      </c>
      <c r="B1595" s="3" t="str">
        <f t="shared" si="34"/>
        <v>France - HCP Survey Email - June 2025</v>
      </c>
      <c r="C1595" s="3" t="str">
        <f>HYPERLINK("https://otsuka-europe-crm.veevavault.com/ui/#object/sent_email__v/VBLZ025E82GNO72", "SE-000273225")</f>
        <v>SE-000273225</v>
      </c>
      <c r="D1595" s="4" t="s">
        <v>11</v>
      </c>
      <c r="E1595" s="5">
        <v>0</v>
      </c>
      <c r="F1595" s="5">
        <v>0</v>
      </c>
      <c r="G1595" s="5">
        <v>0</v>
      </c>
      <c r="H1595" s="4" t="s">
        <v>11</v>
      </c>
      <c r="I1595" s="5">
        <v>0</v>
      </c>
      <c r="J1595" s="4">
        <v>45916.294328703705</v>
      </c>
    </row>
    <row r="1596" spans="1:10" x14ac:dyDescent="0.2">
      <c r="A1596" s="2" t="s">
        <v>10</v>
      </c>
      <c r="B1596" s="3" t="str">
        <f t="shared" si="34"/>
        <v>France - HCP Survey Email - June 2025</v>
      </c>
      <c r="C1596" s="3" t="str">
        <f>HYPERLINK("https://otsuka-europe-crm.veevavault.com/ui/#object/sent_email__v/VBLZ025E82GNO73", "SE-000273226")</f>
        <v>SE-000273226</v>
      </c>
      <c r="D1596" s="4" t="s">
        <v>11</v>
      </c>
      <c r="E1596" s="5">
        <v>0</v>
      </c>
      <c r="F1596" s="5">
        <v>0</v>
      </c>
      <c r="G1596" s="5">
        <v>0</v>
      </c>
      <c r="H1596" s="4" t="s">
        <v>11</v>
      </c>
      <c r="I1596" s="5">
        <v>0</v>
      </c>
      <c r="J1596" s="4">
        <v>45916.295034722221</v>
      </c>
    </row>
    <row r="1597" spans="1:10" x14ac:dyDescent="0.2">
      <c r="A1597" s="2" t="s">
        <v>10</v>
      </c>
      <c r="B1597" s="3" t="str">
        <f t="shared" si="34"/>
        <v>France - HCP Survey Email - June 2025</v>
      </c>
      <c r="C1597" s="3" t="str">
        <f>HYPERLINK("https://otsuka-europe-crm.veevavault.com/ui/#object/sent_email__v/VBLZ025E82GNO74", "SE-000273227")</f>
        <v>SE-000273227</v>
      </c>
      <c r="D1597" s="4">
        <v>45919.551481481481</v>
      </c>
      <c r="E1597" s="5">
        <v>1</v>
      </c>
      <c r="F1597" s="5">
        <v>1</v>
      </c>
      <c r="G1597" s="5">
        <v>0</v>
      </c>
      <c r="H1597" s="4" t="s">
        <v>11</v>
      </c>
      <c r="I1597" s="5">
        <v>0</v>
      </c>
      <c r="J1597" s="4">
        <v>45916.294305555559</v>
      </c>
    </row>
    <row r="1598" spans="1:10" x14ac:dyDescent="0.2">
      <c r="A1598" s="2" t="s">
        <v>10</v>
      </c>
      <c r="B1598" s="3" t="str">
        <f t="shared" si="34"/>
        <v>France - HCP Survey Email - June 2025</v>
      </c>
      <c r="C1598" s="3" t="str">
        <f>HYPERLINK("https://otsuka-europe-crm.veevavault.com/ui/#object/sent_email__v/VBLZ025E82GNO75", "SE-000273228")</f>
        <v>SE-000273228</v>
      </c>
      <c r="D1598" s="4" t="s">
        <v>11</v>
      </c>
      <c r="E1598" s="5">
        <v>0</v>
      </c>
      <c r="F1598" s="5">
        <v>0</v>
      </c>
      <c r="G1598" s="5">
        <v>0</v>
      </c>
      <c r="H1598" s="4" t="s">
        <v>11</v>
      </c>
      <c r="I1598" s="5">
        <v>0</v>
      </c>
      <c r="J1598" s="4">
        <v>45916.294756944444</v>
      </c>
    </row>
    <row r="1599" spans="1:10" x14ac:dyDescent="0.2">
      <c r="A1599" s="2" t="s">
        <v>10</v>
      </c>
      <c r="B1599" s="3" t="str">
        <f t="shared" si="34"/>
        <v>France - HCP Survey Email - June 2025</v>
      </c>
      <c r="C1599" s="3" t="str">
        <f>HYPERLINK("https://otsuka-europe-crm.veevavault.com/ui/#object/sent_email__v/VBLZ025E82GNO76", "SE-000273229")</f>
        <v>SE-000273229</v>
      </c>
      <c r="D1599" s="4" t="s">
        <v>11</v>
      </c>
      <c r="E1599" s="5">
        <v>0</v>
      </c>
      <c r="F1599" s="5">
        <v>0</v>
      </c>
      <c r="G1599" s="5">
        <v>0</v>
      </c>
      <c r="H1599" s="4" t="s">
        <v>11</v>
      </c>
      <c r="I1599" s="5">
        <v>0</v>
      </c>
      <c r="J1599" s="4">
        <v>45916.29446759259</v>
      </c>
    </row>
    <row r="1600" spans="1:10" x14ac:dyDescent="0.2">
      <c r="A1600" s="2" t="s">
        <v>10</v>
      </c>
      <c r="B1600" s="3" t="str">
        <f t="shared" si="34"/>
        <v>France - HCP Survey Email - June 2025</v>
      </c>
      <c r="C1600" s="3" t="str">
        <f>HYPERLINK("https://otsuka-europe-crm.veevavault.com/ui/#object/sent_email__v/VBLZ025E82GNO77", "SE-000273230")</f>
        <v>SE-000273230</v>
      </c>
      <c r="D1600" s="4">
        <v>45916.751828703702</v>
      </c>
      <c r="E1600" s="5">
        <v>1</v>
      </c>
      <c r="F1600" s="5">
        <v>1</v>
      </c>
      <c r="G1600" s="5">
        <v>1</v>
      </c>
      <c r="H1600" s="4">
        <v>45916.751828703702</v>
      </c>
      <c r="I1600" s="5">
        <v>1</v>
      </c>
      <c r="J1600" s="4">
        <v>45916.294270833336</v>
      </c>
    </row>
    <row r="1601" spans="1:10" x14ac:dyDescent="0.2">
      <c r="A1601" s="2" t="s">
        <v>10</v>
      </c>
      <c r="B1601" s="3" t="str">
        <f t="shared" ref="B1601:B1664" si="35">HYPERLINK("https://otsuka-europe-crm.veevavault.com/ui/#object/approved_document__v/V5OZ025E82TMV97", "France - HCP Survey Email - June 2025")</f>
        <v>France - HCP Survey Email - June 2025</v>
      </c>
      <c r="C1601" s="3" t="str">
        <f>HYPERLINK("https://otsuka-europe-crm.veevavault.com/ui/#object/sent_email__v/VBLZ025E82GNO78", "SE-000273231")</f>
        <v>SE-000273231</v>
      </c>
      <c r="D1601" s="4" t="s">
        <v>11</v>
      </c>
      <c r="E1601" s="5">
        <v>0</v>
      </c>
      <c r="F1601" s="5">
        <v>0</v>
      </c>
      <c r="G1601" s="5">
        <v>0</v>
      </c>
      <c r="H1601" s="4" t="s">
        <v>11</v>
      </c>
      <c r="I1601" s="5">
        <v>0</v>
      </c>
      <c r="J1601" s="4">
        <v>45916.294918981483</v>
      </c>
    </row>
    <row r="1602" spans="1:10" x14ac:dyDescent="0.2">
      <c r="A1602" s="2" t="s">
        <v>10</v>
      </c>
      <c r="B1602" s="3" t="str">
        <f t="shared" si="35"/>
        <v>France - HCP Survey Email - June 2025</v>
      </c>
      <c r="C1602" s="3" t="str">
        <f>HYPERLINK("https://otsuka-europe-crm.veevavault.com/ui/#object/sent_email__v/VBLZ025E82GNO79", "SE-000273232")</f>
        <v>SE-000273232</v>
      </c>
      <c r="D1602" s="4" t="s">
        <v>11</v>
      </c>
      <c r="E1602" s="5">
        <v>0</v>
      </c>
      <c r="F1602" s="5">
        <v>0</v>
      </c>
      <c r="G1602" s="5">
        <v>0</v>
      </c>
      <c r="H1602" s="4" t="s">
        <v>11</v>
      </c>
      <c r="I1602" s="5">
        <v>0</v>
      </c>
      <c r="J1602" s="4">
        <v>45916.294803240744</v>
      </c>
    </row>
    <row r="1603" spans="1:10" x14ac:dyDescent="0.2">
      <c r="A1603" s="2" t="s">
        <v>10</v>
      </c>
      <c r="B1603" s="3" t="str">
        <f t="shared" si="35"/>
        <v>France - HCP Survey Email - June 2025</v>
      </c>
      <c r="C1603" s="3" t="str">
        <f>HYPERLINK("https://otsuka-europe-crm.veevavault.com/ui/#object/sent_email__v/VBLZ025E82GNO7B", "SE-000273234")</f>
        <v>SE-000273234</v>
      </c>
      <c r="D1603" s="4" t="s">
        <v>11</v>
      </c>
      <c r="E1603" s="5">
        <v>0</v>
      </c>
      <c r="F1603" s="5">
        <v>0</v>
      </c>
      <c r="G1603" s="5">
        <v>0</v>
      </c>
      <c r="H1603" s="4" t="s">
        <v>11</v>
      </c>
      <c r="I1603" s="5">
        <v>0</v>
      </c>
      <c r="J1603" s="4">
        <v>45916.294270833336</v>
      </c>
    </row>
    <row r="1604" spans="1:10" x14ac:dyDescent="0.2">
      <c r="A1604" s="2" t="s">
        <v>10</v>
      </c>
      <c r="B1604" s="3" t="str">
        <f t="shared" si="35"/>
        <v>France - HCP Survey Email - June 2025</v>
      </c>
      <c r="C1604" s="3" t="str">
        <f>HYPERLINK("https://otsuka-europe-crm.veevavault.com/ui/#object/sent_email__v/VBLZ025E82GNO7C", "SE-000273235")</f>
        <v>SE-000273235</v>
      </c>
      <c r="D1604" s="4" t="s">
        <v>11</v>
      </c>
      <c r="E1604" s="5">
        <v>0</v>
      </c>
      <c r="F1604" s="5">
        <v>0</v>
      </c>
      <c r="G1604" s="5">
        <v>0</v>
      </c>
      <c r="H1604" s="4" t="s">
        <v>11</v>
      </c>
      <c r="I1604" s="5">
        <v>0</v>
      </c>
      <c r="J1604" s="4">
        <v>45916.294814814813</v>
      </c>
    </row>
    <row r="1605" spans="1:10" x14ac:dyDescent="0.2">
      <c r="A1605" s="2" t="s">
        <v>10</v>
      </c>
      <c r="B1605" s="3" t="str">
        <f t="shared" si="35"/>
        <v>France - HCP Survey Email - June 2025</v>
      </c>
      <c r="C1605" s="3" t="str">
        <f>HYPERLINK("https://otsuka-europe-crm.veevavault.com/ui/#object/sent_email__v/VBLZ025E82GNO7D", "SE-000273236")</f>
        <v>SE-000273236</v>
      </c>
      <c r="D1605" s="4">
        <v>45917.573460648149</v>
      </c>
      <c r="E1605" s="5">
        <v>1</v>
      </c>
      <c r="F1605" s="5">
        <v>2</v>
      </c>
      <c r="G1605" s="5">
        <v>0</v>
      </c>
      <c r="H1605" s="4" t="s">
        <v>11</v>
      </c>
      <c r="I1605" s="5">
        <v>0</v>
      </c>
      <c r="J1605" s="4">
        <v>45916.294618055559</v>
      </c>
    </row>
    <row r="1606" spans="1:10" x14ac:dyDescent="0.2">
      <c r="A1606" s="2" t="s">
        <v>10</v>
      </c>
      <c r="B1606" s="3" t="str">
        <f t="shared" si="35"/>
        <v>France - HCP Survey Email - June 2025</v>
      </c>
      <c r="C1606" s="3" t="str">
        <f>HYPERLINK("https://otsuka-europe-crm.veevavault.com/ui/#object/sent_email__v/VBLZ025E82GNO7E", "SE-000273237")</f>
        <v>SE-000273237</v>
      </c>
      <c r="D1606" s="4">
        <v>45981.415173611109</v>
      </c>
      <c r="E1606" s="5">
        <v>1</v>
      </c>
      <c r="F1606" s="5">
        <v>1</v>
      </c>
      <c r="G1606" s="5">
        <v>0</v>
      </c>
      <c r="H1606" s="4" t="s">
        <v>11</v>
      </c>
      <c r="I1606" s="5">
        <v>0</v>
      </c>
      <c r="J1606" s="4">
        <v>45916.294421296298</v>
      </c>
    </row>
    <row r="1607" spans="1:10" x14ac:dyDescent="0.2">
      <c r="A1607" s="2" t="s">
        <v>10</v>
      </c>
      <c r="B1607" s="3" t="str">
        <f t="shared" si="35"/>
        <v>France - HCP Survey Email - June 2025</v>
      </c>
      <c r="C1607" s="3" t="str">
        <f>HYPERLINK("https://otsuka-europe-crm.veevavault.com/ui/#object/sent_email__v/VBLZ025E82GNO7F", "SE-000273238")</f>
        <v>SE-000273238</v>
      </c>
      <c r="D1607" s="4" t="s">
        <v>11</v>
      </c>
      <c r="E1607" s="5">
        <v>0</v>
      </c>
      <c r="F1607" s="5">
        <v>0</v>
      </c>
      <c r="G1607" s="5">
        <v>0</v>
      </c>
      <c r="H1607" s="4" t="s">
        <v>11</v>
      </c>
      <c r="I1607" s="5">
        <v>0</v>
      </c>
      <c r="J1607" s="4">
        <v>45916.294236111113</v>
      </c>
    </row>
    <row r="1608" spans="1:10" x14ac:dyDescent="0.2">
      <c r="A1608" s="2" t="s">
        <v>10</v>
      </c>
      <c r="B1608" s="3" t="str">
        <f t="shared" si="35"/>
        <v>France - HCP Survey Email - June 2025</v>
      </c>
      <c r="C1608" s="3" t="str">
        <f>HYPERLINK("https://otsuka-europe-crm.veevavault.com/ui/#object/sent_email__v/VBLZ025E82GNO7G", "SE-000273239")</f>
        <v>SE-000273239</v>
      </c>
      <c r="D1608" s="4" t="s">
        <v>11</v>
      </c>
      <c r="E1608" s="5">
        <v>0</v>
      </c>
      <c r="F1608" s="5">
        <v>0</v>
      </c>
      <c r="G1608" s="5">
        <v>0</v>
      </c>
      <c r="H1608" s="4" t="s">
        <v>11</v>
      </c>
      <c r="I1608" s="5">
        <v>0</v>
      </c>
      <c r="J1608" s="4">
        <v>45916.294710648152</v>
      </c>
    </row>
    <row r="1609" spans="1:10" x14ac:dyDescent="0.2">
      <c r="A1609" s="2" t="s">
        <v>10</v>
      </c>
      <c r="B1609" s="3" t="str">
        <f t="shared" si="35"/>
        <v>France - HCP Survey Email - June 2025</v>
      </c>
      <c r="C1609" s="3" t="str">
        <f>HYPERLINK("https://otsuka-europe-crm.veevavault.com/ui/#object/sent_email__v/VBLZ025E82GNO7H", "SE-000273240")</f>
        <v>SE-000273240</v>
      </c>
      <c r="D1609" s="4" t="s">
        <v>11</v>
      </c>
      <c r="E1609" s="5">
        <v>0</v>
      </c>
      <c r="F1609" s="5">
        <v>0</v>
      </c>
      <c r="G1609" s="5">
        <v>0</v>
      </c>
      <c r="H1609" s="4" t="s">
        <v>11</v>
      </c>
      <c r="I1609" s="5">
        <v>0</v>
      </c>
      <c r="J1609" s="4">
        <v>45916.29451388889</v>
      </c>
    </row>
    <row r="1610" spans="1:10" x14ac:dyDescent="0.2">
      <c r="A1610" s="2" t="s">
        <v>10</v>
      </c>
      <c r="B1610" s="3" t="str">
        <f t="shared" si="35"/>
        <v>France - HCP Survey Email - June 2025</v>
      </c>
      <c r="C1610" s="3" t="str">
        <f>HYPERLINK("https://otsuka-europe-crm.veevavault.com/ui/#object/sent_email__v/VBLZ025E82GNO7I", "SE-000273241")</f>
        <v>SE-000273241</v>
      </c>
      <c r="D1610" s="4" t="s">
        <v>11</v>
      </c>
      <c r="E1610" s="5">
        <v>0</v>
      </c>
      <c r="F1610" s="5">
        <v>0</v>
      </c>
      <c r="G1610" s="5">
        <v>0</v>
      </c>
      <c r="H1610" s="4" t="s">
        <v>11</v>
      </c>
      <c r="I1610" s="5">
        <v>0</v>
      </c>
      <c r="J1610" s="4">
        <v>45916.294247685182</v>
      </c>
    </row>
    <row r="1611" spans="1:10" x14ac:dyDescent="0.2">
      <c r="A1611" s="2" t="s">
        <v>10</v>
      </c>
      <c r="B1611" s="3" t="str">
        <f t="shared" si="35"/>
        <v>France - HCP Survey Email - June 2025</v>
      </c>
      <c r="C1611" s="3" t="str">
        <f>HYPERLINK("https://otsuka-europe-crm.veevavault.com/ui/#object/sent_email__v/VBLZ025E82GNO7J", "SE-000273242")</f>
        <v>SE-000273242</v>
      </c>
      <c r="D1611" s="4" t="s">
        <v>11</v>
      </c>
      <c r="E1611" s="5">
        <v>0</v>
      </c>
      <c r="F1611" s="5">
        <v>0</v>
      </c>
      <c r="G1611" s="5">
        <v>0</v>
      </c>
      <c r="H1611" s="4" t="s">
        <v>11</v>
      </c>
      <c r="I1611" s="5">
        <v>0</v>
      </c>
      <c r="J1611" s="4">
        <v>45916.294953703706</v>
      </c>
    </row>
    <row r="1612" spans="1:10" x14ac:dyDescent="0.2">
      <c r="A1612" s="2" t="s">
        <v>10</v>
      </c>
      <c r="B1612" s="3" t="str">
        <f t="shared" si="35"/>
        <v>France - HCP Survey Email - June 2025</v>
      </c>
      <c r="C1612" s="3" t="str">
        <f>HYPERLINK("https://otsuka-europe-crm.veevavault.com/ui/#object/sent_email__v/VBLZ025E82GNO7K", "SE-000273243")</f>
        <v>SE-000273243</v>
      </c>
      <c r="D1612" s="4" t="s">
        <v>11</v>
      </c>
      <c r="E1612" s="5">
        <v>0</v>
      </c>
      <c r="F1612" s="5">
        <v>0</v>
      </c>
      <c r="G1612" s="5">
        <v>0</v>
      </c>
      <c r="H1612" s="4" t="s">
        <v>11</v>
      </c>
      <c r="I1612" s="5">
        <v>0</v>
      </c>
      <c r="J1612" s="4">
        <v>45916.294803240744</v>
      </c>
    </row>
    <row r="1613" spans="1:10" x14ac:dyDescent="0.2">
      <c r="A1613" s="2" t="s">
        <v>10</v>
      </c>
      <c r="B1613" s="3" t="str">
        <f t="shared" si="35"/>
        <v>France - HCP Survey Email - June 2025</v>
      </c>
      <c r="C1613" s="3" t="str">
        <f>HYPERLINK("https://otsuka-europe-crm.veevavault.com/ui/#object/sent_email__v/VBLZ025E82GNO7L", "SE-000273244")</f>
        <v>SE-000273244</v>
      </c>
      <c r="D1613" s="4">
        <v>45916.29446759259</v>
      </c>
      <c r="E1613" s="5">
        <v>1</v>
      </c>
      <c r="F1613" s="5">
        <v>1</v>
      </c>
      <c r="G1613" s="5">
        <v>0</v>
      </c>
      <c r="H1613" s="4" t="s">
        <v>11</v>
      </c>
      <c r="I1613" s="5">
        <v>0</v>
      </c>
      <c r="J1613" s="4">
        <v>45916.294432870367</v>
      </c>
    </row>
    <row r="1614" spans="1:10" x14ac:dyDescent="0.2">
      <c r="A1614" s="2" t="s">
        <v>10</v>
      </c>
      <c r="B1614" s="3" t="str">
        <f t="shared" si="35"/>
        <v>France - HCP Survey Email - June 2025</v>
      </c>
      <c r="C1614" s="3" t="str">
        <f>HYPERLINK("https://otsuka-europe-crm.veevavault.com/ui/#object/sent_email__v/VBLZ025E82GNO7N", "SE-000273246")</f>
        <v>SE-000273246</v>
      </c>
      <c r="D1614" s="4" t="s">
        <v>11</v>
      </c>
      <c r="E1614" s="5">
        <v>0</v>
      </c>
      <c r="F1614" s="5">
        <v>0</v>
      </c>
      <c r="G1614" s="5">
        <v>0</v>
      </c>
      <c r="H1614" s="4" t="s">
        <v>11</v>
      </c>
      <c r="I1614" s="5">
        <v>0</v>
      </c>
      <c r="J1614" s="4">
        <v>45916.29483796296</v>
      </c>
    </row>
    <row r="1615" spans="1:10" x14ac:dyDescent="0.2">
      <c r="A1615" s="2" t="s">
        <v>10</v>
      </c>
      <c r="B1615" s="3" t="str">
        <f t="shared" si="35"/>
        <v>France - HCP Survey Email - June 2025</v>
      </c>
      <c r="C1615" s="3" t="str">
        <f>HYPERLINK("https://otsuka-europe-crm.veevavault.com/ui/#object/sent_email__v/VBLZ025E82GNO7O", "SE-000273247")</f>
        <v>SE-000273247</v>
      </c>
      <c r="D1615" s="4" t="s">
        <v>11</v>
      </c>
      <c r="E1615" s="5">
        <v>0</v>
      </c>
      <c r="F1615" s="5">
        <v>0</v>
      </c>
      <c r="G1615" s="5">
        <v>0</v>
      </c>
      <c r="H1615" s="4" t="s">
        <v>11</v>
      </c>
      <c r="I1615" s="5">
        <v>0</v>
      </c>
      <c r="J1615" s="4">
        <v>45916.294675925928</v>
      </c>
    </row>
    <row r="1616" spans="1:10" x14ac:dyDescent="0.2">
      <c r="A1616" s="2" t="s">
        <v>10</v>
      </c>
      <c r="B1616" s="3" t="str">
        <f t="shared" si="35"/>
        <v>France - HCP Survey Email - June 2025</v>
      </c>
      <c r="C1616" s="3" t="str">
        <f>HYPERLINK("https://otsuka-europe-crm.veevavault.com/ui/#object/sent_email__v/VBLZ025E82GNO7P", "SE-000273248")</f>
        <v>SE-000273248</v>
      </c>
      <c r="D1616" s="4">
        <v>45937.635879629626</v>
      </c>
      <c r="E1616" s="5">
        <v>1</v>
      </c>
      <c r="F1616" s="5">
        <v>2</v>
      </c>
      <c r="G1616" s="5">
        <v>0</v>
      </c>
      <c r="H1616" s="4" t="s">
        <v>11</v>
      </c>
      <c r="I1616" s="5">
        <v>0</v>
      </c>
      <c r="J1616" s="4">
        <v>45916.294386574074</v>
      </c>
    </row>
    <row r="1617" spans="1:10" x14ac:dyDescent="0.2">
      <c r="A1617" s="2" t="s">
        <v>10</v>
      </c>
      <c r="B1617" s="3" t="str">
        <f t="shared" si="35"/>
        <v>France - HCP Survey Email - June 2025</v>
      </c>
      <c r="C1617" s="3" t="str">
        <f>HYPERLINK("https://otsuka-europe-crm.veevavault.com/ui/#object/sent_email__v/VBLZ025E82GNO7Q", "SE-000273249")</f>
        <v>SE-000273249</v>
      </c>
      <c r="D1617" s="4">
        <v>45917.393055555556</v>
      </c>
      <c r="E1617" s="5">
        <v>1</v>
      </c>
      <c r="F1617" s="5">
        <v>3</v>
      </c>
      <c r="G1617" s="5">
        <v>0</v>
      </c>
      <c r="H1617" s="4" t="s">
        <v>11</v>
      </c>
      <c r="I1617" s="5">
        <v>0</v>
      </c>
      <c r="J1617" s="4">
        <v>45916.294236111113</v>
      </c>
    </row>
    <row r="1618" spans="1:10" x14ac:dyDescent="0.2">
      <c r="A1618" s="2" t="s">
        <v>10</v>
      </c>
      <c r="B1618" s="3" t="str">
        <f t="shared" si="35"/>
        <v>France - HCP Survey Email - June 2025</v>
      </c>
      <c r="C1618" s="3" t="str">
        <f>HYPERLINK("https://otsuka-europe-crm.veevavault.com/ui/#object/sent_email__v/VBLZ025E82GNO7R", "SE-000273250")</f>
        <v>SE-000273250</v>
      </c>
      <c r="D1618" s="4" t="s">
        <v>11</v>
      </c>
      <c r="E1618" s="5">
        <v>0</v>
      </c>
      <c r="F1618" s="5">
        <v>0</v>
      </c>
      <c r="G1618" s="5">
        <v>0</v>
      </c>
      <c r="H1618" s="4" t="s">
        <v>11</v>
      </c>
      <c r="I1618" s="5">
        <v>0</v>
      </c>
      <c r="J1618" s="4">
        <v>45916.294687499998</v>
      </c>
    </row>
    <row r="1619" spans="1:10" x14ac:dyDescent="0.2">
      <c r="A1619" s="2" t="s">
        <v>10</v>
      </c>
      <c r="B1619" s="3" t="str">
        <f t="shared" si="35"/>
        <v>France - HCP Survey Email - June 2025</v>
      </c>
      <c r="C1619" s="3" t="str">
        <f>HYPERLINK("https://otsuka-europe-crm.veevavault.com/ui/#object/sent_email__v/VBLZ025E82GNO7S", "SE-000273251")</f>
        <v>SE-000273251</v>
      </c>
      <c r="D1619" s="4" t="s">
        <v>11</v>
      </c>
      <c r="E1619" s="5">
        <v>0</v>
      </c>
      <c r="F1619" s="5">
        <v>0</v>
      </c>
      <c r="G1619" s="5">
        <v>0</v>
      </c>
      <c r="H1619" s="4" t="s">
        <v>11</v>
      </c>
      <c r="I1619" s="5">
        <v>0</v>
      </c>
      <c r="J1619" s="4">
        <v>45916.294456018521</v>
      </c>
    </row>
    <row r="1620" spans="1:10" x14ac:dyDescent="0.2">
      <c r="A1620" s="2" t="s">
        <v>10</v>
      </c>
      <c r="B1620" s="3" t="str">
        <f t="shared" si="35"/>
        <v>France - HCP Survey Email - June 2025</v>
      </c>
      <c r="C1620" s="3" t="str">
        <f>HYPERLINK("https://otsuka-europe-crm.veevavault.com/ui/#object/sent_email__v/VBLZ025E82GNO7T", "SE-000273252")</f>
        <v>SE-000273252</v>
      </c>
      <c r="D1620" s="4">
        <v>45916.294432870367</v>
      </c>
      <c r="E1620" s="5">
        <v>1</v>
      </c>
      <c r="F1620" s="5">
        <v>1</v>
      </c>
      <c r="G1620" s="5">
        <v>0</v>
      </c>
      <c r="H1620" s="4" t="s">
        <v>11</v>
      </c>
      <c r="I1620" s="5">
        <v>0</v>
      </c>
      <c r="J1620" s="4">
        <v>45916.294374999998</v>
      </c>
    </row>
    <row r="1621" spans="1:10" x14ac:dyDescent="0.2">
      <c r="A1621" s="2" t="s">
        <v>10</v>
      </c>
      <c r="B1621" s="3" t="str">
        <f t="shared" si="35"/>
        <v>France - HCP Survey Email - June 2025</v>
      </c>
      <c r="C1621" s="3" t="str">
        <f>HYPERLINK("https://otsuka-europe-crm.veevavault.com/ui/#object/sent_email__v/VBLZ025E82GNO7U", "SE-000273253")</f>
        <v>SE-000273253</v>
      </c>
      <c r="D1621" s="4" t="s">
        <v>11</v>
      </c>
      <c r="E1621" s="5">
        <v>0</v>
      </c>
      <c r="F1621" s="5">
        <v>0</v>
      </c>
      <c r="G1621" s="5">
        <v>0</v>
      </c>
      <c r="H1621" s="4" t="s">
        <v>11</v>
      </c>
      <c r="I1621" s="5">
        <v>0</v>
      </c>
      <c r="J1621" s="4">
        <v>45916.294988425929</v>
      </c>
    </row>
    <row r="1622" spans="1:10" x14ac:dyDescent="0.2">
      <c r="A1622" s="2" t="s">
        <v>10</v>
      </c>
      <c r="B1622" s="3" t="str">
        <f t="shared" si="35"/>
        <v>France - HCP Survey Email - June 2025</v>
      </c>
      <c r="C1622" s="3" t="str">
        <f>HYPERLINK("https://otsuka-europe-crm.veevavault.com/ui/#object/sent_email__v/VBLZ025E82GNO7V", "SE-000273254")</f>
        <v>SE-000273254</v>
      </c>
      <c r="D1622" s="4" t="s">
        <v>11</v>
      </c>
      <c r="E1622" s="5">
        <v>0</v>
      </c>
      <c r="F1622" s="5">
        <v>0</v>
      </c>
      <c r="G1622" s="5">
        <v>0</v>
      </c>
      <c r="H1622" s="4" t="s">
        <v>11</v>
      </c>
      <c r="I1622" s="5">
        <v>0</v>
      </c>
      <c r="J1622" s="4">
        <v>45916.294768518521</v>
      </c>
    </row>
    <row r="1623" spans="1:10" x14ac:dyDescent="0.2">
      <c r="A1623" s="2" t="s">
        <v>10</v>
      </c>
      <c r="B1623" s="3" t="str">
        <f t="shared" si="35"/>
        <v>France - HCP Survey Email - June 2025</v>
      </c>
      <c r="C1623" s="3" t="str">
        <f>HYPERLINK("https://otsuka-europe-crm.veevavault.com/ui/#object/sent_email__v/VBLZ025E82GNO7W", "SE-000273255")</f>
        <v>SE-000273255</v>
      </c>
      <c r="D1623" s="4">
        <v>45916.29488425926</v>
      </c>
      <c r="E1623" s="5">
        <v>1</v>
      </c>
      <c r="F1623" s="5">
        <v>2</v>
      </c>
      <c r="G1623" s="5">
        <v>1</v>
      </c>
      <c r="H1623" s="4">
        <v>45916.29488425926</v>
      </c>
      <c r="I1623" s="5">
        <v>2</v>
      </c>
      <c r="J1623" s="4">
        <v>45916.294548611113</v>
      </c>
    </row>
    <row r="1624" spans="1:10" x14ac:dyDescent="0.2">
      <c r="A1624" s="2" t="s">
        <v>10</v>
      </c>
      <c r="B1624" s="3" t="str">
        <f t="shared" si="35"/>
        <v>France - HCP Survey Email - June 2025</v>
      </c>
      <c r="C1624" s="3" t="str">
        <f>HYPERLINK("https://otsuka-europe-crm.veevavault.com/ui/#object/sent_email__v/VBLZ025E82GNO7X", "SE-000273256")</f>
        <v>SE-000273256</v>
      </c>
      <c r="D1624" s="4" t="s">
        <v>11</v>
      </c>
      <c r="E1624" s="5">
        <v>0</v>
      </c>
      <c r="F1624" s="5">
        <v>0</v>
      </c>
      <c r="G1624" s="5">
        <v>0</v>
      </c>
      <c r="H1624" s="4" t="s">
        <v>11</v>
      </c>
      <c r="I1624" s="5">
        <v>0</v>
      </c>
      <c r="J1624" s="4">
        <v>45916.294236111113</v>
      </c>
    </row>
    <row r="1625" spans="1:10" x14ac:dyDescent="0.2">
      <c r="A1625" s="2" t="s">
        <v>10</v>
      </c>
      <c r="B1625" s="3" t="str">
        <f t="shared" si="35"/>
        <v>France - HCP Survey Email - June 2025</v>
      </c>
      <c r="C1625" s="3" t="str">
        <f>HYPERLINK("https://otsuka-europe-crm.veevavault.com/ui/#object/sent_email__v/VBLZ025E82GNO7Y", "SE-000273257")</f>
        <v>SE-000273257</v>
      </c>
      <c r="D1625" s="4">
        <v>45916.33021990741</v>
      </c>
      <c r="E1625" s="5">
        <v>1</v>
      </c>
      <c r="F1625" s="5">
        <v>1</v>
      </c>
      <c r="G1625" s="5">
        <v>0</v>
      </c>
      <c r="H1625" s="4" t="s">
        <v>11</v>
      </c>
      <c r="I1625" s="5">
        <v>0</v>
      </c>
      <c r="J1625" s="4">
        <v>45916.29488425926</v>
      </c>
    </row>
    <row r="1626" spans="1:10" x14ac:dyDescent="0.2">
      <c r="A1626" s="2" t="s">
        <v>10</v>
      </c>
      <c r="B1626" s="3" t="str">
        <f t="shared" si="35"/>
        <v>France - HCP Survey Email - June 2025</v>
      </c>
      <c r="C1626" s="3" t="str">
        <f>HYPERLINK("https://otsuka-europe-crm.veevavault.com/ui/#object/sent_email__v/VBLZ025E82GNO7Z", "SE-000273258")</f>
        <v>SE-000273258</v>
      </c>
      <c r="D1626" s="4" t="s">
        <v>11</v>
      </c>
      <c r="E1626" s="5">
        <v>0</v>
      </c>
      <c r="F1626" s="5">
        <v>0</v>
      </c>
      <c r="G1626" s="5">
        <v>0</v>
      </c>
      <c r="H1626" s="4" t="s">
        <v>11</v>
      </c>
      <c r="I1626" s="5">
        <v>0</v>
      </c>
      <c r="J1626" s="4">
        <v>45916.294560185182</v>
      </c>
    </row>
    <row r="1627" spans="1:10" x14ac:dyDescent="0.2">
      <c r="A1627" s="2" t="s">
        <v>10</v>
      </c>
      <c r="B1627" s="3" t="str">
        <f t="shared" si="35"/>
        <v>France - HCP Survey Email - June 2025</v>
      </c>
      <c r="C1627" s="3" t="str">
        <f>HYPERLINK("https://otsuka-europe-crm.veevavault.com/ui/#object/sent_email__v/VBLZ025E82GNO80", "SE-000273259")</f>
        <v>SE-000273259</v>
      </c>
      <c r="D1627" s="4" t="s">
        <v>11</v>
      </c>
      <c r="E1627" s="5">
        <v>0</v>
      </c>
      <c r="F1627" s="5">
        <v>0</v>
      </c>
      <c r="G1627" s="5">
        <v>0</v>
      </c>
      <c r="H1627" s="4" t="s">
        <v>11</v>
      </c>
      <c r="I1627" s="5">
        <v>0</v>
      </c>
      <c r="J1627" s="4">
        <v>45916.29446759259</v>
      </c>
    </row>
    <row r="1628" spans="1:10" x14ac:dyDescent="0.2">
      <c r="A1628" s="2" t="s">
        <v>10</v>
      </c>
      <c r="B1628" s="3" t="str">
        <f t="shared" si="35"/>
        <v>France - HCP Survey Email - June 2025</v>
      </c>
      <c r="C1628" s="3" t="str">
        <f>HYPERLINK("https://otsuka-europe-crm.veevavault.com/ui/#object/sent_email__v/VBLZ025E82GNO81", "SE-000273260")</f>
        <v>SE-000273260</v>
      </c>
      <c r="D1628" s="4" t="s">
        <v>11</v>
      </c>
      <c r="E1628" s="5">
        <v>0</v>
      </c>
      <c r="F1628" s="5">
        <v>0</v>
      </c>
      <c r="G1628" s="5">
        <v>0</v>
      </c>
      <c r="H1628" s="4" t="s">
        <v>11</v>
      </c>
      <c r="I1628" s="5">
        <v>0</v>
      </c>
      <c r="J1628" s="4">
        <v>45916.294212962966</v>
      </c>
    </row>
    <row r="1629" spans="1:10" x14ac:dyDescent="0.2">
      <c r="A1629" s="2" t="s">
        <v>10</v>
      </c>
      <c r="B1629" s="3" t="str">
        <f t="shared" si="35"/>
        <v>France - HCP Survey Email - June 2025</v>
      </c>
      <c r="C1629" s="3" t="str">
        <f>HYPERLINK("https://otsuka-europe-crm.veevavault.com/ui/#object/sent_email__v/VBLZ025E82GNO82", "SE-000273261")</f>
        <v>SE-000273261</v>
      </c>
      <c r="D1629" s="4">
        <v>45916.554930555554</v>
      </c>
      <c r="E1629" s="5">
        <v>1</v>
      </c>
      <c r="F1629" s="5">
        <v>1</v>
      </c>
      <c r="G1629" s="5">
        <v>1</v>
      </c>
      <c r="H1629" s="4">
        <v>45916.554930555554</v>
      </c>
      <c r="I1629" s="5">
        <v>1</v>
      </c>
      <c r="J1629" s="4">
        <v>45916.294722222221</v>
      </c>
    </row>
    <row r="1630" spans="1:10" x14ac:dyDescent="0.2">
      <c r="A1630" s="2" t="s">
        <v>10</v>
      </c>
      <c r="B1630" s="3" t="str">
        <f t="shared" si="35"/>
        <v>France - HCP Survey Email - June 2025</v>
      </c>
      <c r="C1630" s="3" t="str">
        <f>HYPERLINK("https://otsuka-europe-crm.veevavault.com/ui/#object/sent_email__v/VBLZ025E82GNO83", "SE-000273262")</f>
        <v>SE-000273262</v>
      </c>
      <c r="D1630" s="4" t="s">
        <v>11</v>
      </c>
      <c r="E1630" s="5">
        <v>0</v>
      </c>
      <c r="F1630" s="5">
        <v>0</v>
      </c>
      <c r="G1630" s="5">
        <v>0</v>
      </c>
      <c r="H1630" s="4" t="s">
        <v>11</v>
      </c>
      <c r="I1630" s="5">
        <v>0</v>
      </c>
      <c r="J1630" s="4">
        <v>45916.294502314813</v>
      </c>
    </row>
    <row r="1631" spans="1:10" x14ac:dyDescent="0.2">
      <c r="A1631" s="2" t="s">
        <v>10</v>
      </c>
      <c r="B1631" s="3" t="str">
        <f t="shared" si="35"/>
        <v>France - HCP Survey Email - June 2025</v>
      </c>
      <c r="C1631" s="3" t="str">
        <f>HYPERLINK("https://otsuka-europe-crm.veevavault.com/ui/#object/sent_email__v/VBLZ025E82GNO84", "SE-000273263")</f>
        <v>SE-000273263</v>
      </c>
      <c r="D1631" s="4" t="s">
        <v>11</v>
      </c>
      <c r="E1631" s="5">
        <v>0</v>
      </c>
      <c r="F1631" s="5">
        <v>0</v>
      </c>
      <c r="G1631" s="5">
        <v>0</v>
      </c>
      <c r="H1631" s="4" t="s">
        <v>11</v>
      </c>
      <c r="I1631" s="5">
        <v>0</v>
      </c>
      <c r="J1631" s="4">
        <v>45916.294479166667</v>
      </c>
    </row>
    <row r="1632" spans="1:10" x14ac:dyDescent="0.2">
      <c r="A1632" s="2" t="s">
        <v>10</v>
      </c>
      <c r="B1632" s="3" t="str">
        <f t="shared" si="35"/>
        <v>France - HCP Survey Email - June 2025</v>
      </c>
      <c r="C1632" s="3" t="str">
        <f>HYPERLINK("https://otsuka-europe-crm.veevavault.com/ui/#object/sent_email__v/VBLZ025E82GNO85", "SE-000273264")</f>
        <v>SE-000273264</v>
      </c>
      <c r="D1632" s="4" t="s">
        <v>11</v>
      </c>
      <c r="E1632" s="5">
        <v>0</v>
      </c>
      <c r="F1632" s="5">
        <v>0</v>
      </c>
      <c r="G1632" s="5">
        <v>0</v>
      </c>
      <c r="H1632" s="4" t="s">
        <v>11</v>
      </c>
      <c r="I1632" s="5">
        <v>0</v>
      </c>
      <c r="J1632" s="4">
        <v>45916.294305555559</v>
      </c>
    </row>
    <row r="1633" spans="1:10" x14ac:dyDescent="0.2">
      <c r="A1633" s="2" t="s">
        <v>10</v>
      </c>
      <c r="B1633" s="3" t="str">
        <f t="shared" si="35"/>
        <v>France - HCP Survey Email - June 2025</v>
      </c>
      <c r="C1633" s="3" t="str">
        <f>HYPERLINK("https://otsuka-europe-crm.veevavault.com/ui/#object/sent_email__v/VBLZ025E82GNO86", "SE-000273265")</f>
        <v>SE-000273265</v>
      </c>
      <c r="D1633" s="4" t="s">
        <v>11</v>
      </c>
      <c r="E1633" s="5">
        <v>0</v>
      </c>
      <c r="F1633" s="5">
        <v>0</v>
      </c>
      <c r="G1633" s="5">
        <v>0</v>
      </c>
      <c r="H1633" s="4" t="s">
        <v>11</v>
      </c>
      <c r="I1633" s="5">
        <v>0</v>
      </c>
      <c r="J1633" s="4">
        <v>45916.294791666667</v>
      </c>
    </row>
    <row r="1634" spans="1:10" x14ac:dyDescent="0.2">
      <c r="A1634" s="2" t="s">
        <v>10</v>
      </c>
      <c r="B1634" s="3" t="str">
        <f t="shared" si="35"/>
        <v>France - HCP Survey Email - June 2025</v>
      </c>
      <c r="C1634" s="3" t="str">
        <f>HYPERLINK("https://otsuka-europe-crm.veevavault.com/ui/#object/sent_email__v/VBLZ025E82GNO87", "SE-000273266")</f>
        <v>SE-000273266</v>
      </c>
      <c r="D1634" s="4" t="s">
        <v>11</v>
      </c>
      <c r="E1634" s="5">
        <v>0</v>
      </c>
      <c r="F1634" s="5">
        <v>0</v>
      </c>
      <c r="G1634" s="5">
        <v>0</v>
      </c>
      <c r="H1634" s="4" t="s">
        <v>11</v>
      </c>
      <c r="I1634" s="5">
        <v>0</v>
      </c>
      <c r="J1634" s="4">
        <v>45916.294502314813</v>
      </c>
    </row>
    <row r="1635" spans="1:10" x14ac:dyDescent="0.2">
      <c r="A1635" s="2" t="s">
        <v>10</v>
      </c>
      <c r="B1635" s="3" t="str">
        <f t="shared" si="35"/>
        <v>France - HCP Survey Email - June 2025</v>
      </c>
      <c r="C1635" s="3" t="str">
        <f>HYPERLINK("https://otsuka-europe-crm.veevavault.com/ui/#object/sent_email__v/VBLZ025E82GNO88", "SE-000273267")</f>
        <v>SE-000273267</v>
      </c>
      <c r="D1635" s="4">
        <v>45916.305578703701</v>
      </c>
      <c r="E1635" s="5">
        <v>1</v>
      </c>
      <c r="F1635" s="5">
        <v>1</v>
      </c>
      <c r="G1635" s="5">
        <v>0</v>
      </c>
      <c r="H1635" s="4" t="s">
        <v>11</v>
      </c>
      <c r="I1635" s="5">
        <v>0</v>
      </c>
      <c r="J1635" s="4">
        <v>45916.294247685182</v>
      </c>
    </row>
    <row r="1636" spans="1:10" x14ac:dyDescent="0.2">
      <c r="A1636" s="2" t="s">
        <v>10</v>
      </c>
      <c r="B1636" s="3" t="str">
        <f t="shared" si="35"/>
        <v>France - HCP Survey Email - June 2025</v>
      </c>
      <c r="C1636" s="3" t="str">
        <f>HYPERLINK("https://otsuka-europe-crm.veevavault.com/ui/#object/sent_email__v/VBLZ025E82GNO89", "SE-000273268")</f>
        <v>SE-000273268</v>
      </c>
      <c r="D1636" s="4">
        <v>45916.340219907404</v>
      </c>
      <c r="E1636" s="5">
        <v>1</v>
      </c>
      <c r="F1636" s="5">
        <v>2</v>
      </c>
      <c r="G1636" s="5">
        <v>0</v>
      </c>
      <c r="H1636" s="4" t="s">
        <v>11</v>
      </c>
      <c r="I1636" s="5">
        <v>0</v>
      </c>
      <c r="J1636" s="4">
        <v>45916.294999999998</v>
      </c>
    </row>
    <row r="1637" spans="1:10" x14ac:dyDescent="0.2">
      <c r="A1637" s="2" t="s">
        <v>10</v>
      </c>
      <c r="B1637" s="3" t="str">
        <f t="shared" si="35"/>
        <v>France - HCP Survey Email - June 2025</v>
      </c>
      <c r="C1637" s="3" t="str">
        <f>HYPERLINK("https://otsuka-europe-crm.veevavault.com/ui/#object/sent_email__v/VBLZ025E82GNO8A", "SE-000273269")</f>
        <v>SE-000273269</v>
      </c>
      <c r="D1637" s="4">
        <v>45916.538935185185</v>
      </c>
      <c r="E1637" s="5">
        <v>1</v>
      </c>
      <c r="F1637" s="5">
        <v>2</v>
      </c>
      <c r="G1637" s="5">
        <v>0</v>
      </c>
      <c r="H1637" s="4" t="s">
        <v>11</v>
      </c>
      <c r="I1637" s="5">
        <v>0</v>
      </c>
      <c r="J1637" s="4">
        <v>45916.294768518521</v>
      </c>
    </row>
    <row r="1638" spans="1:10" x14ac:dyDescent="0.2">
      <c r="A1638" s="2" t="s">
        <v>10</v>
      </c>
      <c r="B1638" s="3" t="str">
        <f t="shared" si="35"/>
        <v>France - HCP Survey Email - June 2025</v>
      </c>
      <c r="C1638" s="3" t="str">
        <f>HYPERLINK("https://otsuka-europe-crm.veevavault.com/ui/#object/sent_email__v/VBLZ025E82GNO8B", "SE-000273270")</f>
        <v>SE-000273270</v>
      </c>
      <c r="D1638" s="4" t="s">
        <v>11</v>
      </c>
      <c r="E1638" s="5">
        <v>0</v>
      </c>
      <c r="F1638" s="5">
        <v>0</v>
      </c>
      <c r="G1638" s="5">
        <v>0</v>
      </c>
      <c r="H1638" s="4" t="s">
        <v>11</v>
      </c>
      <c r="I1638" s="5">
        <v>0</v>
      </c>
      <c r="J1638" s="4">
        <v>45916.294537037036</v>
      </c>
    </row>
    <row r="1639" spans="1:10" x14ac:dyDescent="0.2">
      <c r="A1639" s="2" t="s">
        <v>10</v>
      </c>
      <c r="B1639" s="3" t="str">
        <f t="shared" si="35"/>
        <v>France - HCP Survey Email - June 2025</v>
      </c>
      <c r="C1639" s="3" t="str">
        <f>HYPERLINK("https://otsuka-europe-crm.veevavault.com/ui/#object/sent_email__v/VBLZ025E82GNO8C", "SE-000273271")</f>
        <v>SE-000273271</v>
      </c>
      <c r="D1639" s="4" t="s">
        <v>11</v>
      </c>
      <c r="E1639" s="5">
        <v>0</v>
      </c>
      <c r="F1639" s="5">
        <v>0</v>
      </c>
      <c r="G1639" s="5">
        <v>0</v>
      </c>
      <c r="H1639" s="4" t="s">
        <v>11</v>
      </c>
      <c r="I1639" s="5">
        <v>0</v>
      </c>
      <c r="J1639" s="4">
        <v>45916.294259259259</v>
      </c>
    </row>
    <row r="1640" spans="1:10" x14ac:dyDescent="0.2">
      <c r="A1640" s="2" t="s">
        <v>10</v>
      </c>
      <c r="B1640" s="3" t="str">
        <f t="shared" si="35"/>
        <v>France - HCP Survey Email - June 2025</v>
      </c>
      <c r="C1640" s="3" t="str">
        <f>HYPERLINK("https://otsuka-europe-crm.veevavault.com/ui/#object/sent_email__v/VBLZ025E82GNO8D", "SE-000273272")</f>
        <v>SE-000273272</v>
      </c>
      <c r="D1640" s="4">
        <v>45916.922002314815</v>
      </c>
      <c r="E1640" s="5">
        <v>1</v>
      </c>
      <c r="F1640" s="5">
        <v>1</v>
      </c>
      <c r="G1640" s="5">
        <v>0</v>
      </c>
      <c r="H1640" s="4" t="s">
        <v>11</v>
      </c>
      <c r="I1640" s="5">
        <v>0</v>
      </c>
      <c r="J1640" s="4">
        <v>45916.294872685183</v>
      </c>
    </row>
    <row r="1641" spans="1:10" x14ac:dyDescent="0.2">
      <c r="A1641" s="2" t="s">
        <v>10</v>
      </c>
      <c r="B1641" s="3" t="str">
        <f t="shared" si="35"/>
        <v>France - HCP Survey Email - June 2025</v>
      </c>
      <c r="C1641" s="3" t="str">
        <f>HYPERLINK("https://otsuka-europe-crm.veevavault.com/ui/#object/sent_email__v/VBLZ025E82GNO8E", "SE-000273273")</f>
        <v>SE-000273273</v>
      </c>
      <c r="D1641" s="4">
        <v>45916.35365740741</v>
      </c>
      <c r="E1641" s="5">
        <v>1</v>
      </c>
      <c r="F1641" s="5">
        <v>3</v>
      </c>
      <c r="G1641" s="5">
        <v>0</v>
      </c>
      <c r="H1641" s="4" t="s">
        <v>11</v>
      </c>
      <c r="I1641" s="5">
        <v>0</v>
      </c>
      <c r="J1641" s="4">
        <v>45916.294560185182</v>
      </c>
    </row>
    <row r="1642" spans="1:10" x14ac:dyDescent="0.2">
      <c r="A1642" s="2" t="s">
        <v>10</v>
      </c>
      <c r="B1642" s="3" t="str">
        <f t="shared" si="35"/>
        <v>France - HCP Survey Email - June 2025</v>
      </c>
      <c r="C1642" s="3" t="str">
        <f>HYPERLINK("https://otsuka-europe-crm.veevavault.com/ui/#object/sent_email__v/VBLZ025E82GNO8F", "SE-000273274")</f>
        <v>SE-000273274</v>
      </c>
      <c r="D1642" s="4" t="s">
        <v>11</v>
      </c>
      <c r="E1642" s="5">
        <v>0</v>
      </c>
      <c r="F1642" s="5">
        <v>0</v>
      </c>
      <c r="G1642" s="5">
        <v>0</v>
      </c>
      <c r="H1642" s="4" t="s">
        <v>11</v>
      </c>
      <c r="I1642" s="5">
        <v>0</v>
      </c>
      <c r="J1642" s="4">
        <v>45916.294409722221</v>
      </c>
    </row>
    <row r="1643" spans="1:10" x14ac:dyDescent="0.2">
      <c r="A1643" s="2" t="s">
        <v>10</v>
      </c>
      <c r="B1643" s="3" t="str">
        <f t="shared" si="35"/>
        <v>France - HCP Survey Email - June 2025</v>
      </c>
      <c r="C1643" s="3" t="str">
        <f>HYPERLINK("https://otsuka-europe-crm.veevavault.com/ui/#object/sent_email__v/VBLZ025E82GNO8G", "SE-000273275")</f>
        <v>SE-000273275</v>
      </c>
      <c r="D1643" s="4" t="s">
        <v>11</v>
      </c>
      <c r="E1643" s="5">
        <v>0</v>
      </c>
      <c r="F1643" s="5">
        <v>0</v>
      </c>
      <c r="G1643" s="5">
        <v>0</v>
      </c>
      <c r="H1643" s="4" t="s">
        <v>11</v>
      </c>
      <c r="I1643" s="5">
        <v>0</v>
      </c>
      <c r="J1643" s="4">
        <v>45916.294293981482</v>
      </c>
    </row>
    <row r="1644" spans="1:10" x14ac:dyDescent="0.2">
      <c r="A1644" s="2" t="s">
        <v>10</v>
      </c>
      <c r="B1644" s="3" t="str">
        <f t="shared" si="35"/>
        <v>France - HCP Survey Email - June 2025</v>
      </c>
      <c r="C1644" s="3" t="str">
        <f>HYPERLINK("https://otsuka-europe-crm.veevavault.com/ui/#object/sent_email__v/VBLZ025E82GNO8H", "SE-000273276")</f>
        <v>SE-000273276</v>
      </c>
      <c r="D1644" s="4" t="s">
        <v>11</v>
      </c>
      <c r="E1644" s="5">
        <v>0</v>
      </c>
      <c r="F1644" s="5">
        <v>0</v>
      </c>
      <c r="G1644" s="5">
        <v>0</v>
      </c>
      <c r="H1644" s="4" t="s">
        <v>11</v>
      </c>
      <c r="I1644" s="5">
        <v>0</v>
      </c>
      <c r="J1644" s="4">
        <v>45916.294814814813</v>
      </c>
    </row>
    <row r="1645" spans="1:10" x14ac:dyDescent="0.2">
      <c r="A1645" s="2" t="s">
        <v>10</v>
      </c>
      <c r="B1645" s="3" t="str">
        <f t="shared" si="35"/>
        <v>France - HCP Survey Email - June 2025</v>
      </c>
      <c r="C1645" s="3" t="str">
        <f>HYPERLINK("https://otsuka-europe-crm.veevavault.com/ui/#object/sent_email__v/VBLZ025E82GNO8I", "SE-000273277")</f>
        <v>SE-000273277</v>
      </c>
      <c r="D1645" s="4" t="s">
        <v>11</v>
      </c>
      <c r="E1645" s="5">
        <v>0</v>
      </c>
      <c r="F1645" s="5">
        <v>0</v>
      </c>
      <c r="G1645" s="5">
        <v>0</v>
      </c>
      <c r="H1645" s="4" t="s">
        <v>11</v>
      </c>
      <c r="I1645" s="5">
        <v>0</v>
      </c>
      <c r="J1645" s="4">
        <v>45916.294456018521</v>
      </c>
    </row>
    <row r="1646" spans="1:10" x14ac:dyDescent="0.2">
      <c r="A1646" s="2" t="s">
        <v>10</v>
      </c>
      <c r="B1646" s="3" t="str">
        <f t="shared" si="35"/>
        <v>France - HCP Survey Email - June 2025</v>
      </c>
      <c r="C1646" s="3" t="str">
        <f>HYPERLINK("https://otsuka-europe-crm.veevavault.com/ui/#object/sent_email__v/VBLZ025E82GNO8J", "SE-000273278")</f>
        <v>SE-000273278</v>
      </c>
      <c r="D1646" s="4" t="s">
        <v>11</v>
      </c>
      <c r="E1646" s="5">
        <v>0</v>
      </c>
      <c r="F1646" s="5">
        <v>0</v>
      </c>
      <c r="G1646" s="5">
        <v>0</v>
      </c>
      <c r="H1646" s="4" t="s">
        <v>11</v>
      </c>
      <c r="I1646" s="5">
        <v>0</v>
      </c>
      <c r="J1646" s="4">
        <v>45916.294270833336</v>
      </c>
    </row>
    <row r="1647" spans="1:10" x14ac:dyDescent="0.2">
      <c r="A1647" s="2" t="s">
        <v>10</v>
      </c>
      <c r="B1647" s="3" t="str">
        <f t="shared" si="35"/>
        <v>France - HCP Survey Email - June 2025</v>
      </c>
      <c r="C1647" s="3" t="str">
        <f>HYPERLINK("https://otsuka-europe-crm.veevavault.com/ui/#object/sent_email__v/VBLZ025E82GNO8K", "SE-000273279")</f>
        <v>SE-000273279</v>
      </c>
      <c r="D1647" s="4" t="s">
        <v>11</v>
      </c>
      <c r="E1647" s="5">
        <v>0</v>
      </c>
      <c r="F1647" s="5">
        <v>0</v>
      </c>
      <c r="G1647" s="5">
        <v>0</v>
      </c>
      <c r="H1647" s="4" t="s">
        <v>11</v>
      </c>
      <c r="I1647" s="5">
        <v>0</v>
      </c>
      <c r="J1647" s="4">
        <v>45916.294965277775</v>
      </c>
    </row>
    <row r="1648" spans="1:10" x14ac:dyDescent="0.2">
      <c r="A1648" s="2" t="s">
        <v>10</v>
      </c>
      <c r="B1648" s="3" t="str">
        <f t="shared" si="35"/>
        <v>France - HCP Survey Email - June 2025</v>
      </c>
      <c r="C1648" s="3" t="str">
        <f>HYPERLINK("https://otsuka-europe-crm.veevavault.com/ui/#object/sent_email__v/VBLZ025E82GNO8M", "SE-000273281")</f>
        <v>SE-000273281</v>
      </c>
      <c r="D1648" s="4" t="s">
        <v>11</v>
      </c>
      <c r="E1648" s="5">
        <v>0</v>
      </c>
      <c r="F1648" s="5">
        <v>0</v>
      </c>
      <c r="G1648" s="5">
        <v>0</v>
      </c>
      <c r="H1648" s="4" t="s">
        <v>11</v>
      </c>
      <c r="I1648" s="5">
        <v>0</v>
      </c>
      <c r="J1648" s="4">
        <v>45916.294571759259</v>
      </c>
    </row>
    <row r="1649" spans="1:10" x14ac:dyDescent="0.2">
      <c r="A1649" s="2" t="s">
        <v>10</v>
      </c>
      <c r="B1649" s="3" t="str">
        <f t="shared" si="35"/>
        <v>France - HCP Survey Email - June 2025</v>
      </c>
      <c r="C1649" s="3" t="str">
        <f>HYPERLINK("https://otsuka-europe-crm.veevavault.com/ui/#object/sent_email__v/VBLZ025E82GNO8N", "SE-000273282")</f>
        <v>SE-000273282</v>
      </c>
      <c r="D1649" s="4" t="s">
        <v>11</v>
      </c>
      <c r="E1649" s="5">
        <v>0</v>
      </c>
      <c r="F1649" s="5">
        <v>0</v>
      </c>
      <c r="G1649" s="5">
        <v>0</v>
      </c>
      <c r="H1649" s="4" t="s">
        <v>11</v>
      </c>
      <c r="I1649" s="5">
        <v>0</v>
      </c>
      <c r="J1649" s="4">
        <v>45916.294189814813</v>
      </c>
    </row>
    <row r="1650" spans="1:10" x14ac:dyDescent="0.2">
      <c r="A1650" s="2" t="s">
        <v>10</v>
      </c>
      <c r="B1650" s="3" t="str">
        <f t="shared" si="35"/>
        <v>France - HCP Survey Email - June 2025</v>
      </c>
      <c r="C1650" s="3" t="str">
        <f>HYPERLINK("https://otsuka-europe-crm.veevavault.com/ui/#object/sent_email__v/VBLZ025E82GNO8O", "SE-000273283")</f>
        <v>SE-000273283</v>
      </c>
      <c r="D1650" s="4" t="s">
        <v>11</v>
      </c>
      <c r="E1650" s="5">
        <v>0</v>
      </c>
      <c r="F1650" s="5">
        <v>0</v>
      </c>
      <c r="G1650" s="5">
        <v>0</v>
      </c>
      <c r="H1650" s="4" t="s">
        <v>11</v>
      </c>
      <c r="I1650" s="5">
        <v>0</v>
      </c>
      <c r="J1650" s="4">
        <v>45916.294861111113</v>
      </c>
    </row>
    <row r="1651" spans="1:10" x14ac:dyDescent="0.2">
      <c r="A1651" s="2" t="s">
        <v>10</v>
      </c>
      <c r="B1651" s="3" t="str">
        <f t="shared" si="35"/>
        <v>France - HCP Survey Email - June 2025</v>
      </c>
      <c r="C1651" s="3" t="str">
        <f>HYPERLINK("https://otsuka-europe-crm.veevavault.com/ui/#object/sent_email__v/VBLZ025E82GNO8P", "SE-000273284")</f>
        <v>SE-000273284</v>
      </c>
      <c r="D1651" s="4" t="s">
        <v>11</v>
      </c>
      <c r="E1651" s="5">
        <v>0</v>
      </c>
      <c r="F1651" s="5">
        <v>0</v>
      </c>
      <c r="G1651" s="5">
        <v>0</v>
      </c>
      <c r="H1651" s="4" t="s">
        <v>11</v>
      </c>
      <c r="I1651" s="5">
        <v>0</v>
      </c>
      <c r="J1651" s="4">
        <v>45916.294733796298</v>
      </c>
    </row>
    <row r="1652" spans="1:10" x14ac:dyDescent="0.2">
      <c r="A1652" s="2" t="s">
        <v>10</v>
      </c>
      <c r="B1652" s="3" t="str">
        <f t="shared" si="35"/>
        <v>France - HCP Survey Email - June 2025</v>
      </c>
      <c r="C1652" s="3" t="str">
        <f>HYPERLINK("https://otsuka-europe-crm.veevavault.com/ui/#object/sent_email__v/VBLZ025E82GNO8Q", "SE-000273285")</f>
        <v>SE-000273285</v>
      </c>
      <c r="D1652" s="4" t="s">
        <v>11</v>
      </c>
      <c r="E1652" s="5">
        <v>0</v>
      </c>
      <c r="F1652" s="5">
        <v>0</v>
      </c>
      <c r="G1652" s="5">
        <v>0</v>
      </c>
      <c r="H1652" s="4" t="s">
        <v>11</v>
      </c>
      <c r="I1652" s="5">
        <v>0</v>
      </c>
      <c r="J1652" s="4">
        <v>45916.294432870367</v>
      </c>
    </row>
    <row r="1653" spans="1:10" x14ac:dyDescent="0.2">
      <c r="A1653" s="2" t="s">
        <v>10</v>
      </c>
      <c r="B1653" s="3" t="str">
        <f t="shared" si="35"/>
        <v>France - HCP Survey Email - June 2025</v>
      </c>
      <c r="C1653" s="3" t="str">
        <f>HYPERLINK("https://otsuka-europe-crm.veevavault.com/ui/#object/sent_email__v/VBLZ025E82GNO8R", "SE-000273286")</f>
        <v>SE-000273286</v>
      </c>
      <c r="D1653" s="4">
        <v>45916.349548611113</v>
      </c>
      <c r="E1653" s="5">
        <v>1</v>
      </c>
      <c r="F1653" s="5">
        <v>1</v>
      </c>
      <c r="G1653" s="5">
        <v>0</v>
      </c>
      <c r="H1653" s="4" t="s">
        <v>11</v>
      </c>
      <c r="I1653" s="5">
        <v>0</v>
      </c>
      <c r="J1653" s="4">
        <v>45916.294247685182</v>
      </c>
    </row>
    <row r="1654" spans="1:10" x14ac:dyDescent="0.2">
      <c r="A1654" s="2" t="s">
        <v>10</v>
      </c>
      <c r="B1654" s="3" t="str">
        <f t="shared" si="35"/>
        <v>France - HCP Survey Email - June 2025</v>
      </c>
      <c r="C1654" s="3" t="str">
        <f>HYPERLINK("https://otsuka-europe-crm.veevavault.com/ui/#object/sent_email__v/VBLZ025E82GNO8S", "SE-000273287")</f>
        <v>SE-000273287</v>
      </c>
      <c r="D1654" s="4" t="s">
        <v>11</v>
      </c>
      <c r="E1654" s="5">
        <v>0</v>
      </c>
      <c r="F1654" s="5">
        <v>0</v>
      </c>
      <c r="G1654" s="5">
        <v>0</v>
      </c>
      <c r="H1654" s="4" t="s">
        <v>11</v>
      </c>
      <c r="I1654" s="5">
        <v>0</v>
      </c>
      <c r="J1654" s="4">
        <v>45915.422430555554</v>
      </c>
    </row>
    <row r="1655" spans="1:10" x14ac:dyDescent="0.2">
      <c r="A1655" s="2" t="s">
        <v>10</v>
      </c>
      <c r="B1655" s="3" t="str">
        <f t="shared" si="35"/>
        <v>France - HCP Survey Email - June 2025</v>
      </c>
      <c r="C1655" s="3" t="str">
        <f>HYPERLINK("https://otsuka-europe-crm.veevavault.com/ui/#object/sent_email__v/VBLZ025E82GNO8T", "SE-000273288")</f>
        <v>SE-000273288</v>
      </c>
      <c r="D1655" s="4">
        <v>45932.947766203702</v>
      </c>
      <c r="E1655" s="5">
        <v>1</v>
      </c>
      <c r="F1655" s="5">
        <v>2</v>
      </c>
      <c r="G1655" s="5">
        <v>0</v>
      </c>
      <c r="H1655" s="4" t="s">
        <v>11</v>
      </c>
      <c r="I1655" s="5">
        <v>0</v>
      </c>
      <c r="J1655" s="4">
        <v>45916.294525462959</v>
      </c>
    </row>
    <row r="1656" spans="1:10" x14ac:dyDescent="0.2">
      <c r="A1656" s="2" t="s">
        <v>10</v>
      </c>
      <c r="B1656" s="3" t="str">
        <f t="shared" si="35"/>
        <v>France - HCP Survey Email - June 2025</v>
      </c>
      <c r="C1656" s="3" t="str">
        <f>HYPERLINK("https://otsuka-europe-crm.veevavault.com/ui/#object/sent_email__v/VBLZ025E82GNO8U", "SE-000273289")</f>
        <v>SE-000273289</v>
      </c>
      <c r="D1656" s="4" t="s">
        <v>11</v>
      </c>
      <c r="E1656" s="5">
        <v>0</v>
      </c>
      <c r="F1656" s="5">
        <v>0</v>
      </c>
      <c r="G1656" s="5">
        <v>0</v>
      </c>
      <c r="H1656" s="4" t="s">
        <v>11</v>
      </c>
      <c r="I1656" s="5">
        <v>0</v>
      </c>
      <c r="J1656" s="4">
        <v>45916.294687499998</v>
      </c>
    </row>
    <row r="1657" spans="1:10" x14ac:dyDescent="0.2">
      <c r="A1657" s="2" t="s">
        <v>10</v>
      </c>
      <c r="B1657" s="3" t="str">
        <f t="shared" si="35"/>
        <v>France - HCP Survey Email - June 2025</v>
      </c>
      <c r="C1657" s="3" t="str">
        <f>HYPERLINK("https://otsuka-europe-crm.veevavault.com/ui/#object/sent_email__v/VBLZ025E82GNO8V", "SE-000273290")</f>
        <v>SE-000273290</v>
      </c>
      <c r="D1657" s="4">
        <v>45916.308749999997</v>
      </c>
      <c r="E1657" s="5">
        <v>1</v>
      </c>
      <c r="F1657" s="5">
        <v>1</v>
      </c>
      <c r="G1657" s="5">
        <v>0</v>
      </c>
      <c r="H1657" s="4" t="s">
        <v>11</v>
      </c>
      <c r="I1657" s="5">
        <v>0</v>
      </c>
      <c r="J1657" s="4">
        <v>45916.294386574074</v>
      </c>
    </row>
    <row r="1658" spans="1:10" x14ac:dyDescent="0.2">
      <c r="A1658" s="2" t="s">
        <v>10</v>
      </c>
      <c r="B1658" s="3" t="str">
        <f t="shared" si="35"/>
        <v>France - HCP Survey Email - June 2025</v>
      </c>
      <c r="C1658" s="3" t="str">
        <f>HYPERLINK("https://otsuka-europe-crm.veevavault.com/ui/#object/sent_email__v/VBLZ025E82GNO8W", "SE-000273291")</f>
        <v>SE-000273291</v>
      </c>
      <c r="D1658" s="4" t="s">
        <v>11</v>
      </c>
      <c r="E1658" s="5">
        <v>0</v>
      </c>
      <c r="F1658" s="5">
        <v>0</v>
      </c>
      <c r="G1658" s="5">
        <v>0</v>
      </c>
      <c r="H1658" s="4" t="s">
        <v>11</v>
      </c>
      <c r="I1658" s="5">
        <v>0</v>
      </c>
      <c r="J1658" s="4">
        <v>45916.294236111113</v>
      </c>
    </row>
    <row r="1659" spans="1:10" x14ac:dyDescent="0.2">
      <c r="A1659" s="2" t="s">
        <v>10</v>
      </c>
      <c r="B1659" s="3" t="str">
        <f t="shared" si="35"/>
        <v>France - HCP Survey Email - June 2025</v>
      </c>
      <c r="C1659" s="3" t="str">
        <f>HYPERLINK("https://otsuka-europe-crm.veevavault.com/ui/#object/sent_email__v/VBLZ025E82GNO8X", "SE-000273292")</f>
        <v>SE-000273292</v>
      </c>
      <c r="D1659" s="4" t="s">
        <v>11</v>
      </c>
      <c r="E1659" s="5">
        <v>0</v>
      </c>
      <c r="F1659" s="5">
        <v>0</v>
      </c>
      <c r="G1659" s="5">
        <v>0</v>
      </c>
      <c r="H1659" s="4" t="s">
        <v>11</v>
      </c>
      <c r="I1659" s="5">
        <v>0</v>
      </c>
      <c r="J1659" s="4">
        <v>45916.294791666667</v>
      </c>
    </row>
    <row r="1660" spans="1:10" x14ac:dyDescent="0.2">
      <c r="A1660" s="2" t="s">
        <v>10</v>
      </c>
      <c r="B1660" s="3" t="str">
        <f t="shared" si="35"/>
        <v>France - HCP Survey Email - June 2025</v>
      </c>
      <c r="C1660" s="3" t="str">
        <f>HYPERLINK("https://otsuka-europe-crm.veevavault.com/ui/#object/sent_email__v/VBLZ025E82GNO8Y", "SE-000273293")</f>
        <v>SE-000273293</v>
      </c>
      <c r="D1660" s="4">
        <v>45916.4219212963</v>
      </c>
      <c r="E1660" s="5">
        <v>1</v>
      </c>
      <c r="F1660" s="5">
        <v>1</v>
      </c>
      <c r="G1660" s="5">
        <v>1</v>
      </c>
      <c r="H1660" s="4">
        <v>45916.4219212963</v>
      </c>
      <c r="I1660" s="5">
        <v>1</v>
      </c>
      <c r="J1660" s="4">
        <v>45916.294444444444</v>
      </c>
    </row>
    <row r="1661" spans="1:10" x14ac:dyDescent="0.2">
      <c r="A1661" s="2" t="s">
        <v>10</v>
      </c>
      <c r="B1661" s="3" t="str">
        <f t="shared" si="35"/>
        <v>France - HCP Survey Email - June 2025</v>
      </c>
      <c r="C1661" s="3" t="str">
        <f>HYPERLINK("https://otsuka-europe-crm.veevavault.com/ui/#object/sent_email__v/VBLZ025E82GNO8Z", "SE-000273294")</f>
        <v>SE-000273294</v>
      </c>
      <c r="D1661" s="4" t="s">
        <v>11</v>
      </c>
      <c r="E1661" s="5">
        <v>0</v>
      </c>
      <c r="F1661" s="5">
        <v>0</v>
      </c>
      <c r="G1661" s="5">
        <v>0</v>
      </c>
      <c r="H1661" s="4" t="s">
        <v>11</v>
      </c>
      <c r="I1661" s="5">
        <v>0</v>
      </c>
      <c r="J1661" s="4">
        <v>45916.294386574074</v>
      </c>
    </row>
    <row r="1662" spans="1:10" x14ac:dyDescent="0.2">
      <c r="A1662" s="2" t="s">
        <v>10</v>
      </c>
      <c r="B1662" s="3" t="str">
        <f t="shared" si="35"/>
        <v>France - HCP Survey Email - June 2025</v>
      </c>
      <c r="C1662" s="3" t="str">
        <f>HYPERLINK("https://otsuka-europe-crm.veevavault.com/ui/#object/sent_email__v/VBLZ025E82GNO90", "SE-000273295")</f>
        <v>SE-000273295</v>
      </c>
      <c r="D1662" s="4" t="s">
        <v>11</v>
      </c>
      <c r="E1662" s="5">
        <v>0</v>
      </c>
      <c r="F1662" s="5">
        <v>0</v>
      </c>
      <c r="G1662" s="5">
        <v>0</v>
      </c>
      <c r="H1662" s="4" t="s">
        <v>11</v>
      </c>
      <c r="I1662" s="5">
        <v>0</v>
      </c>
      <c r="J1662" s="4">
        <v>45916.294999999998</v>
      </c>
    </row>
    <row r="1663" spans="1:10" x14ac:dyDescent="0.2">
      <c r="A1663" s="2" t="s">
        <v>10</v>
      </c>
      <c r="B1663" s="3" t="str">
        <f t="shared" si="35"/>
        <v>France - HCP Survey Email - June 2025</v>
      </c>
      <c r="C1663" s="3" t="str">
        <f>HYPERLINK("https://otsuka-europe-crm.veevavault.com/ui/#object/sent_email__v/VBLZ025E82GNO91", "SE-000273296")</f>
        <v>SE-000273296</v>
      </c>
      <c r="D1663" s="4" t="s">
        <v>11</v>
      </c>
      <c r="E1663" s="5">
        <v>0</v>
      </c>
      <c r="F1663" s="5">
        <v>0</v>
      </c>
      <c r="G1663" s="5">
        <v>0</v>
      </c>
      <c r="H1663" s="4" t="s">
        <v>11</v>
      </c>
      <c r="I1663" s="5">
        <v>0</v>
      </c>
      <c r="J1663" s="4">
        <v>45916.294849537036</v>
      </c>
    </row>
    <row r="1664" spans="1:10" x14ac:dyDescent="0.2">
      <c r="A1664" s="2" t="s">
        <v>10</v>
      </c>
      <c r="B1664" s="3" t="str">
        <f t="shared" si="35"/>
        <v>France - HCP Survey Email - June 2025</v>
      </c>
      <c r="C1664" s="3" t="str">
        <f>HYPERLINK("https://otsuka-europe-crm.veevavault.com/ui/#object/sent_email__v/VBLZ025E82GNO92", "SE-000273297")</f>
        <v>SE-000273297</v>
      </c>
      <c r="D1664" s="4" t="s">
        <v>11</v>
      </c>
      <c r="E1664" s="5">
        <v>0</v>
      </c>
      <c r="F1664" s="5">
        <v>0</v>
      </c>
      <c r="G1664" s="5">
        <v>0</v>
      </c>
      <c r="H1664" s="4" t="s">
        <v>11</v>
      </c>
      <c r="I1664" s="5">
        <v>0</v>
      </c>
      <c r="J1664" s="4">
        <v>45916.294398148151</v>
      </c>
    </row>
    <row r="1665" spans="1:10" x14ac:dyDescent="0.2">
      <c r="A1665" s="2" t="s">
        <v>10</v>
      </c>
      <c r="B1665" s="3" t="str">
        <f t="shared" ref="B1665:B1728" si="36">HYPERLINK("https://otsuka-europe-crm.veevavault.com/ui/#object/approved_document__v/V5OZ025E82TMV97", "France - HCP Survey Email - June 2025")</f>
        <v>France - HCP Survey Email - June 2025</v>
      </c>
      <c r="C1665" s="3" t="str">
        <f>HYPERLINK("https://otsuka-europe-crm.veevavault.com/ui/#object/sent_email__v/VBLZ025E82GNO93", "SE-000273298")</f>
        <v>SE-000273298</v>
      </c>
      <c r="D1665" s="4">
        <v>45916.303344907406</v>
      </c>
      <c r="E1665" s="5">
        <v>1</v>
      </c>
      <c r="F1665" s="5">
        <v>1</v>
      </c>
      <c r="G1665" s="5">
        <v>0</v>
      </c>
      <c r="H1665" s="4" t="s">
        <v>11</v>
      </c>
      <c r="I1665" s="5">
        <v>0</v>
      </c>
      <c r="J1665" s="4">
        <v>45916.294247685182</v>
      </c>
    </row>
    <row r="1666" spans="1:10" x14ac:dyDescent="0.2">
      <c r="A1666" s="2" t="s">
        <v>10</v>
      </c>
      <c r="B1666" s="3" t="str">
        <f t="shared" si="36"/>
        <v>France - HCP Survey Email - June 2025</v>
      </c>
      <c r="C1666" s="3" t="str">
        <f>HYPERLINK("https://otsuka-europe-crm.veevavault.com/ui/#object/sent_email__v/VBLZ025E82GNO94", "SE-000273299")</f>
        <v>SE-000273299</v>
      </c>
      <c r="D1666" s="4" t="s">
        <v>11</v>
      </c>
      <c r="E1666" s="5">
        <v>0</v>
      </c>
      <c r="F1666" s="5">
        <v>0</v>
      </c>
      <c r="G1666" s="5">
        <v>0</v>
      </c>
      <c r="H1666" s="4" t="s">
        <v>11</v>
      </c>
      <c r="I1666" s="5">
        <v>0</v>
      </c>
      <c r="J1666" s="4">
        <v>45916.294814814813</v>
      </c>
    </row>
    <row r="1667" spans="1:10" x14ac:dyDescent="0.2">
      <c r="A1667" s="2" t="s">
        <v>10</v>
      </c>
      <c r="B1667" s="3" t="str">
        <f t="shared" si="36"/>
        <v>France - HCP Survey Email - June 2025</v>
      </c>
      <c r="C1667" s="3" t="str">
        <f>HYPERLINK("https://otsuka-europe-crm.veevavault.com/ui/#object/sent_email__v/VBLZ025E82GNO95", "SE-000273300")</f>
        <v>SE-000273300</v>
      </c>
      <c r="D1667" s="4" t="s">
        <v>11</v>
      </c>
      <c r="E1667" s="5">
        <v>0</v>
      </c>
      <c r="F1667" s="5">
        <v>0</v>
      </c>
      <c r="G1667" s="5">
        <v>0</v>
      </c>
      <c r="H1667" s="4" t="s">
        <v>11</v>
      </c>
      <c r="I1667" s="5">
        <v>0</v>
      </c>
      <c r="J1667" s="4">
        <v>45916.294641203705</v>
      </c>
    </row>
    <row r="1668" spans="1:10" x14ac:dyDescent="0.2">
      <c r="A1668" s="2" t="s">
        <v>10</v>
      </c>
      <c r="B1668" s="3" t="str">
        <f t="shared" si="36"/>
        <v>France - HCP Survey Email - June 2025</v>
      </c>
      <c r="C1668" s="3" t="str">
        <f>HYPERLINK("https://otsuka-europe-crm.veevavault.com/ui/#object/sent_email__v/VBLZ025E82GNO96", "SE-000273301")</f>
        <v>SE-000273301</v>
      </c>
      <c r="D1668" s="4" t="s">
        <v>11</v>
      </c>
      <c r="E1668" s="5">
        <v>0</v>
      </c>
      <c r="F1668" s="5">
        <v>0</v>
      </c>
      <c r="G1668" s="5">
        <v>0</v>
      </c>
      <c r="H1668" s="4" t="s">
        <v>11</v>
      </c>
      <c r="I1668" s="5">
        <v>0</v>
      </c>
      <c r="J1668" s="4">
        <v>45916.294444444444</v>
      </c>
    </row>
    <row r="1669" spans="1:10" x14ac:dyDescent="0.2">
      <c r="A1669" s="2" t="s">
        <v>10</v>
      </c>
      <c r="B1669" s="3" t="str">
        <f t="shared" si="36"/>
        <v>France - HCP Survey Email - June 2025</v>
      </c>
      <c r="C1669" s="3" t="str">
        <f>HYPERLINK("https://otsuka-europe-crm.veevavault.com/ui/#object/sent_email__v/VBLZ025E82GNO97", "SE-000273302")</f>
        <v>SE-000273302</v>
      </c>
      <c r="D1669" s="4" t="s">
        <v>11</v>
      </c>
      <c r="E1669" s="5">
        <v>0</v>
      </c>
      <c r="F1669" s="5">
        <v>0</v>
      </c>
      <c r="G1669" s="5">
        <v>0</v>
      </c>
      <c r="H1669" s="4" t="s">
        <v>11</v>
      </c>
      <c r="I1669" s="5">
        <v>0</v>
      </c>
      <c r="J1669" s="4">
        <v>45916.294999999998</v>
      </c>
    </row>
    <row r="1670" spans="1:10" x14ac:dyDescent="0.2">
      <c r="A1670" s="2" t="s">
        <v>10</v>
      </c>
      <c r="B1670" s="3" t="str">
        <f t="shared" si="36"/>
        <v>France - HCP Survey Email - June 2025</v>
      </c>
      <c r="C1670" s="3" t="str">
        <f>HYPERLINK("https://otsuka-europe-crm.veevavault.com/ui/#object/sent_email__v/VBLZ025E82GNO99", "SE-000273304")</f>
        <v>SE-000273304</v>
      </c>
      <c r="D1670" s="4" t="s">
        <v>11</v>
      </c>
      <c r="E1670" s="5">
        <v>0</v>
      </c>
      <c r="F1670" s="5">
        <v>0</v>
      </c>
      <c r="G1670" s="5">
        <v>0</v>
      </c>
      <c r="H1670" s="4" t="s">
        <v>11</v>
      </c>
      <c r="I1670" s="5">
        <v>0</v>
      </c>
      <c r="J1670" s="4">
        <v>45916.294421296298</v>
      </c>
    </row>
    <row r="1671" spans="1:10" x14ac:dyDescent="0.2">
      <c r="A1671" s="2" t="s">
        <v>10</v>
      </c>
      <c r="B1671" s="3" t="str">
        <f t="shared" si="36"/>
        <v>France - HCP Survey Email - June 2025</v>
      </c>
      <c r="C1671" s="3" t="str">
        <f>HYPERLINK("https://otsuka-europe-crm.veevavault.com/ui/#object/sent_email__v/VBLZ025E82GNO9A", "SE-000273305")</f>
        <v>SE-000273305</v>
      </c>
      <c r="D1671" s="4" t="s">
        <v>11</v>
      </c>
      <c r="E1671" s="5">
        <v>0</v>
      </c>
      <c r="F1671" s="5">
        <v>0</v>
      </c>
      <c r="G1671" s="5">
        <v>0</v>
      </c>
      <c r="H1671" s="4" t="s">
        <v>11</v>
      </c>
      <c r="I1671" s="5">
        <v>0</v>
      </c>
      <c r="J1671" s="4">
        <v>45916.294305555559</v>
      </c>
    </row>
    <row r="1672" spans="1:10" x14ac:dyDescent="0.2">
      <c r="A1672" s="2" t="s">
        <v>10</v>
      </c>
      <c r="B1672" s="3" t="str">
        <f t="shared" si="36"/>
        <v>France - HCP Survey Email - June 2025</v>
      </c>
      <c r="C1672" s="3" t="str">
        <f>HYPERLINK("https://otsuka-europe-crm.veevavault.com/ui/#object/sent_email__v/VBLZ025E82GNO9B", "SE-000273306")</f>
        <v>SE-000273306</v>
      </c>
      <c r="D1672" s="4" t="s">
        <v>11</v>
      </c>
      <c r="E1672" s="5">
        <v>0</v>
      </c>
      <c r="F1672" s="5">
        <v>0</v>
      </c>
      <c r="G1672" s="5">
        <v>0</v>
      </c>
      <c r="H1672" s="4" t="s">
        <v>11</v>
      </c>
      <c r="I1672" s="5">
        <v>0</v>
      </c>
      <c r="J1672" s="4">
        <v>45916.294988425929</v>
      </c>
    </row>
    <row r="1673" spans="1:10" x14ac:dyDescent="0.2">
      <c r="A1673" s="2" t="s">
        <v>10</v>
      </c>
      <c r="B1673" s="3" t="str">
        <f t="shared" si="36"/>
        <v>France - HCP Survey Email - June 2025</v>
      </c>
      <c r="C1673" s="3" t="str">
        <f>HYPERLINK("https://otsuka-europe-crm.veevavault.com/ui/#object/sent_email__v/VBLZ025E82GNO9C", "SE-000273307")</f>
        <v>SE-000273307</v>
      </c>
      <c r="D1673" s="4" t="s">
        <v>11</v>
      </c>
      <c r="E1673" s="5">
        <v>0</v>
      </c>
      <c r="F1673" s="5">
        <v>0</v>
      </c>
      <c r="G1673" s="5">
        <v>0</v>
      </c>
      <c r="H1673" s="4" t="s">
        <v>11</v>
      </c>
      <c r="I1673" s="5">
        <v>0</v>
      </c>
      <c r="J1673" s="4">
        <v>45916.294733796298</v>
      </c>
    </row>
    <row r="1674" spans="1:10" x14ac:dyDescent="0.2">
      <c r="A1674" s="2" t="s">
        <v>10</v>
      </c>
      <c r="B1674" s="3" t="str">
        <f t="shared" si="36"/>
        <v>France - HCP Survey Email - June 2025</v>
      </c>
      <c r="C1674" s="3" t="str">
        <f>HYPERLINK("https://otsuka-europe-crm.veevavault.com/ui/#object/sent_email__v/VBLZ025E82GNO9D", "SE-000273308")</f>
        <v>SE-000273308</v>
      </c>
      <c r="D1674" s="4" t="s">
        <v>11</v>
      </c>
      <c r="E1674" s="5">
        <v>0</v>
      </c>
      <c r="F1674" s="5">
        <v>0</v>
      </c>
      <c r="G1674" s="5">
        <v>0</v>
      </c>
      <c r="H1674" s="4" t="s">
        <v>11</v>
      </c>
      <c r="I1674" s="5">
        <v>0</v>
      </c>
      <c r="J1674" s="4">
        <v>45916.294340277775</v>
      </c>
    </row>
    <row r="1675" spans="1:10" x14ac:dyDescent="0.2">
      <c r="A1675" s="2" t="s">
        <v>10</v>
      </c>
      <c r="B1675" s="3" t="str">
        <f t="shared" si="36"/>
        <v>France - HCP Survey Email - June 2025</v>
      </c>
      <c r="C1675" s="3" t="str">
        <f>HYPERLINK("https://otsuka-europe-crm.veevavault.com/ui/#object/sent_email__v/VBLZ025E82GNO9E", "SE-000273309")</f>
        <v>SE-000273309</v>
      </c>
      <c r="D1675" s="4" t="s">
        <v>11</v>
      </c>
      <c r="E1675" s="5">
        <v>0</v>
      </c>
      <c r="F1675" s="5">
        <v>0</v>
      </c>
      <c r="G1675" s="5">
        <v>0</v>
      </c>
      <c r="H1675" s="4" t="s">
        <v>11</v>
      </c>
      <c r="I1675" s="5">
        <v>0</v>
      </c>
      <c r="J1675" s="4">
        <v>45916.294212962966</v>
      </c>
    </row>
    <row r="1676" spans="1:10" x14ac:dyDescent="0.2">
      <c r="A1676" s="2" t="s">
        <v>10</v>
      </c>
      <c r="B1676" s="3" t="str">
        <f t="shared" si="36"/>
        <v>France - HCP Survey Email - June 2025</v>
      </c>
      <c r="C1676" s="3" t="str">
        <f>HYPERLINK("https://otsuka-europe-crm.veevavault.com/ui/#object/sent_email__v/VBLZ025E82GNO9G", "SE-000273311")</f>
        <v>SE-000273311</v>
      </c>
      <c r="D1676" s="4" t="s">
        <v>11</v>
      </c>
      <c r="E1676" s="5">
        <v>0</v>
      </c>
      <c r="F1676" s="5">
        <v>0</v>
      </c>
      <c r="G1676" s="5">
        <v>0</v>
      </c>
      <c r="H1676" s="4" t="s">
        <v>11</v>
      </c>
      <c r="I1676" s="5">
        <v>0</v>
      </c>
      <c r="J1676" s="4">
        <v>45916.294606481482</v>
      </c>
    </row>
    <row r="1677" spans="1:10" x14ac:dyDescent="0.2">
      <c r="A1677" s="2" t="s">
        <v>10</v>
      </c>
      <c r="B1677" s="3" t="str">
        <f t="shared" si="36"/>
        <v>France - HCP Survey Email - June 2025</v>
      </c>
      <c r="C1677" s="3" t="str">
        <f>HYPERLINK("https://otsuka-europe-crm.veevavault.com/ui/#object/sent_email__v/VBLZ025E82GNO9H", "SE-000273312")</f>
        <v>SE-000273312</v>
      </c>
      <c r="D1677" s="4" t="s">
        <v>11</v>
      </c>
      <c r="E1677" s="5">
        <v>0</v>
      </c>
      <c r="F1677" s="5">
        <v>0</v>
      </c>
      <c r="G1677" s="5">
        <v>0</v>
      </c>
      <c r="H1677" s="4" t="s">
        <v>11</v>
      </c>
      <c r="I1677" s="5">
        <v>0</v>
      </c>
      <c r="J1677" s="4">
        <v>45916.294432870367</v>
      </c>
    </row>
    <row r="1678" spans="1:10" x14ac:dyDescent="0.2">
      <c r="A1678" s="2" t="s">
        <v>10</v>
      </c>
      <c r="B1678" s="3" t="str">
        <f t="shared" si="36"/>
        <v>France - HCP Survey Email - June 2025</v>
      </c>
      <c r="C1678" s="3" t="str">
        <f>HYPERLINK("https://otsuka-europe-crm.veevavault.com/ui/#object/sent_email__v/VBLZ025E82GNO9I", "SE-000273313")</f>
        <v>SE-000273313</v>
      </c>
      <c r="D1678" s="4">
        <v>45916.529872685183</v>
      </c>
      <c r="E1678" s="5">
        <v>1</v>
      </c>
      <c r="F1678" s="5">
        <v>1</v>
      </c>
      <c r="G1678" s="5">
        <v>0</v>
      </c>
      <c r="H1678" s="4" t="s">
        <v>11</v>
      </c>
      <c r="I1678" s="5">
        <v>0</v>
      </c>
      <c r="J1678" s="4">
        <v>45916.294907407406</v>
      </c>
    </row>
    <row r="1679" spans="1:10" x14ac:dyDescent="0.2">
      <c r="A1679" s="2" t="s">
        <v>10</v>
      </c>
      <c r="B1679" s="3" t="str">
        <f t="shared" si="36"/>
        <v>France - HCP Survey Email - June 2025</v>
      </c>
      <c r="C1679" s="3" t="str">
        <f>HYPERLINK("https://otsuka-europe-crm.veevavault.com/ui/#object/sent_email__v/VBLZ025E82GNO9J", "SE-000273314")</f>
        <v>SE-000273314</v>
      </c>
      <c r="D1679" s="4" t="s">
        <v>11</v>
      </c>
      <c r="E1679" s="5">
        <v>0</v>
      </c>
      <c r="F1679" s="5">
        <v>0</v>
      </c>
      <c r="G1679" s="5">
        <v>0</v>
      </c>
      <c r="H1679" s="4" t="s">
        <v>11</v>
      </c>
      <c r="I1679" s="5">
        <v>0</v>
      </c>
      <c r="J1679" s="4">
        <v>45916.294675925928</v>
      </c>
    </row>
    <row r="1680" spans="1:10" x14ac:dyDescent="0.2">
      <c r="A1680" s="2" t="s">
        <v>10</v>
      </c>
      <c r="B1680" s="3" t="str">
        <f t="shared" si="36"/>
        <v>France - HCP Survey Email - June 2025</v>
      </c>
      <c r="C1680" s="3" t="str">
        <f>HYPERLINK("https://otsuka-europe-crm.veevavault.com/ui/#object/sent_email__v/VBLZ025E82GNO9K", "SE-000273315")</f>
        <v>SE-000273315</v>
      </c>
      <c r="D1680" s="4" t="s">
        <v>11</v>
      </c>
      <c r="E1680" s="5">
        <v>0</v>
      </c>
      <c r="F1680" s="5">
        <v>0</v>
      </c>
      <c r="G1680" s="5">
        <v>0</v>
      </c>
      <c r="H1680" s="4" t="s">
        <v>11</v>
      </c>
      <c r="I1680" s="5">
        <v>0</v>
      </c>
      <c r="J1680" s="4">
        <v>45916.294525462959</v>
      </c>
    </row>
    <row r="1681" spans="1:10" x14ac:dyDescent="0.2">
      <c r="A1681" s="2" t="s">
        <v>10</v>
      </c>
      <c r="B1681" s="3" t="str">
        <f t="shared" si="36"/>
        <v>France - HCP Survey Email - June 2025</v>
      </c>
      <c r="C1681" s="3" t="str">
        <f>HYPERLINK("https://otsuka-europe-crm.veevavault.com/ui/#object/sent_email__v/VBLZ025E82GNO9M", "SE-000273317")</f>
        <v>SE-000273317</v>
      </c>
      <c r="D1681" s="4" t="s">
        <v>11</v>
      </c>
      <c r="E1681" s="5">
        <v>0</v>
      </c>
      <c r="F1681" s="5">
        <v>0</v>
      </c>
      <c r="G1681" s="5">
        <v>0</v>
      </c>
      <c r="H1681" s="4" t="s">
        <v>11</v>
      </c>
      <c r="I1681" s="5">
        <v>0</v>
      </c>
      <c r="J1681" s="4">
        <v>45916.294976851852</v>
      </c>
    </row>
    <row r="1682" spans="1:10" x14ac:dyDescent="0.2">
      <c r="A1682" s="2" t="s">
        <v>10</v>
      </c>
      <c r="B1682" s="3" t="str">
        <f t="shared" si="36"/>
        <v>France - HCP Survey Email - June 2025</v>
      </c>
      <c r="C1682" s="3" t="str">
        <f>HYPERLINK("https://otsuka-europe-crm.veevavault.com/ui/#object/sent_email__v/VBLZ025E82GNO9N", "SE-000273318")</f>
        <v>SE-000273318</v>
      </c>
      <c r="D1682" s="4" t="s">
        <v>11</v>
      </c>
      <c r="E1682" s="5">
        <v>0</v>
      </c>
      <c r="F1682" s="5">
        <v>0</v>
      </c>
      <c r="G1682" s="5">
        <v>0</v>
      </c>
      <c r="H1682" s="4" t="s">
        <v>11</v>
      </c>
      <c r="I1682" s="5">
        <v>0</v>
      </c>
      <c r="J1682" s="4">
        <v>45916.294756944444</v>
      </c>
    </row>
    <row r="1683" spans="1:10" x14ac:dyDescent="0.2">
      <c r="A1683" s="2" t="s">
        <v>10</v>
      </c>
      <c r="B1683" s="3" t="str">
        <f t="shared" si="36"/>
        <v>France - HCP Survey Email - June 2025</v>
      </c>
      <c r="C1683" s="3" t="str">
        <f>HYPERLINK("https://otsuka-europe-crm.veevavault.com/ui/#object/sent_email__v/VBLZ025E82GNO9O", "SE-000273319")</f>
        <v>SE-000273319</v>
      </c>
      <c r="D1683" s="4" t="s">
        <v>11</v>
      </c>
      <c r="E1683" s="5">
        <v>0</v>
      </c>
      <c r="F1683" s="5">
        <v>0</v>
      </c>
      <c r="G1683" s="5">
        <v>0</v>
      </c>
      <c r="H1683" s="4" t="s">
        <v>11</v>
      </c>
      <c r="I1683" s="5">
        <v>0</v>
      </c>
      <c r="J1683" s="4">
        <v>45916.294421296298</v>
      </c>
    </row>
    <row r="1684" spans="1:10" x14ac:dyDescent="0.2">
      <c r="A1684" s="2" t="s">
        <v>10</v>
      </c>
      <c r="B1684" s="3" t="str">
        <f t="shared" si="36"/>
        <v>France - HCP Survey Email - June 2025</v>
      </c>
      <c r="C1684" s="3" t="str">
        <f>HYPERLINK("https://otsuka-europe-crm.veevavault.com/ui/#object/sent_email__v/VBLZ025E82GNO9P", "SE-000273320")</f>
        <v>SE-000273320</v>
      </c>
      <c r="D1684" s="4">
        <v>45916.461458333331</v>
      </c>
      <c r="E1684" s="5">
        <v>1</v>
      </c>
      <c r="F1684" s="5">
        <v>1</v>
      </c>
      <c r="G1684" s="5">
        <v>1</v>
      </c>
      <c r="H1684" s="4">
        <v>45916.461458333331</v>
      </c>
      <c r="I1684" s="5">
        <v>1</v>
      </c>
      <c r="J1684" s="4">
        <v>45916.294189814813</v>
      </c>
    </row>
    <row r="1685" spans="1:10" x14ac:dyDescent="0.2">
      <c r="A1685" s="2" t="s">
        <v>10</v>
      </c>
      <c r="B1685" s="3" t="str">
        <f t="shared" si="36"/>
        <v>France - HCP Survey Email - June 2025</v>
      </c>
      <c r="C1685" s="3" t="str">
        <f>HYPERLINK("https://otsuka-europe-crm.veevavault.com/ui/#object/sent_email__v/VBLZ025E82GNO9Q", "SE-000273321")</f>
        <v>SE-000273321</v>
      </c>
      <c r="D1685" s="4">
        <v>45916.560613425929</v>
      </c>
      <c r="E1685" s="5">
        <v>1</v>
      </c>
      <c r="F1685" s="5">
        <v>1</v>
      </c>
      <c r="G1685" s="5">
        <v>0</v>
      </c>
      <c r="H1685" s="4" t="s">
        <v>11</v>
      </c>
      <c r="I1685" s="5">
        <v>0</v>
      </c>
      <c r="J1685" s="4">
        <v>45916.294803240744</v>
      </c>
    </row>
    <row r="1686" spans="1:10" x14ac:dyDescent="0.2">
      <c r="A1686" s="2" t="s">
        <v>10</v>
      </c>
      <c r="B1686" s="3" t="str">
        <f t="shared" si="36"/>
        <v>France - HCP Survey Email - June 2025</v>
      </c>
      <c r="C1686" s="3" t="str">
        <f>HYPERLINK("https://otsuka-europe-crm.veevavault.com/ui/#object/sent_email__v/VBLZ025E82GNO9R", "SE-000273322")</f>
        <v>SE-000273322</v>
      </c>
      <c r="D1686" s="4" t="s">
        <v>11</v>
      </c>
      <c r="E1686" s="5">
        <v>0</v>
      </c>
      <c r="F1686" s="5">
        <v>0</v>
      </c>
      <c r="G1686" s="5">
        <v>0</v>
      </c>
      <c r="H1686" s="4" t="s">
        <v>11</v>
      </c>
      <c r="I1686" s="5">
        <v>0</v>
      </c>
      <c r="J1686" s="4">
        <v>45916.294733796298</v>
      </c>
    </row>
    <row r="1687" spans="1:10" x14ac:dyDescent="0.2">
      <c r="A1687" s="2" t="s">
        <v>10</v>
      </c>
      <c r="B1687" s="3" t="str">
        <f t="shared" si="36"/>
        <v>France - HCP Survey Email - June 2025</v>
      </c>
      <c r="C1687" s="3" t="str">
        <f>HYPERLINK("https://otsuka-europe-crm.veevavault.com/ui/#object/sent_email__v/VBLZ025E82GNO9S", "SE-000273323")</f>
        <v>SE-000273323</v>
      </c>
      <c r="D1687" s="4" t="s">
        <v>11</v>
      </c>
      <c r="E1687" s="5">
        <v>0</v>
      </c>
      <c r="F1687" s="5">
        <v>0</v>
      </c>
      <c r="G1687" s="5">
        <v>0</v>
      </c>
      <c r="H1687" s="4" t="s">
        <v>11</v>
      </c>
      <c r="I1687" s="5">
        <v>0</v>
      </c>
      <c r="J1687" s="4">
        <v>45916.294386574074</v>
      </c>
    </row>
    <row r="1688" spans="1:10" x14ac:dyDescent="0.2">
      <c r="A1688" s="2" t="s">
        <v>10</v>
      </c>
      <c r="B1688" s="3" t="str">
        <f t="shared" si="36"/>
        <v>France - HCP Survey Email - June 2025</v>
      </c>
      <c r="C1688" s="3" t="str">
        <f>HYPERLINK("https://otsuka-europe-crm.veevavault.com/ui/#object/sent_email__v/VBLZ025E82GNO9T", "SE-000273324")</f>
        <v>SE-000273324</v>
      </c>
      <c r="D1688" s="4">
        <v>45916.419930555552</v>
      </c>
      <c r="E1688" s="5">
        <v>1</v>
      </c>
      <c r="F1688" s="5">
        <v>1</v>
      </c>
      <c r="G1688" s="5">
        <v>0</v>
      </c>
      <c r="H1688" s="4" t="s">
        <v>11</v>
      </c>
      <c r="I1688" s="5">
        <v>0</v>
      </c>
      <c r="J1688" s="4">
        <v>45916.294224537036</v>
      </c>
    </row>
    <row r="1689" spans="1:10" x14ac:dyDescent="0.2">
      <c r="A1689" s="2" t="s">
        <v>10</v>
      </c>
      <c r="B1689" s="3" t="str">
        <f t="shared" si="36"/>
        <v>France - HCP Survey Email - June 2025</v>
      </c>
      <c r="C1689" s="3" t="str">
        <f>HYPERLINK("https://otsuka-europe-crm.veevavault.com/ui/#object/sent_email__v/VBLZ025E82GNO9U", "SE-000273325")</f>
        <v>SE-000273325</v>
      </c>
      <c r="D1689" s="4" t="s">
        <v>11</v>
      </c>
      <c r="E1689" s="5">
        <v>0</v>
      </c>
      <c r="F1689" s="5">
        <v>0</v>
      </c>
      <c r="G1689" s="5">
        <v>0</v>
      </c>
      <c r="H1689" s="4" t="s">
        <v>11</v>
      </c>
      <c r="I1689" s="5">
        <v>0</v>
      </c>
      <c r="J1689" s="4">
        <v>45916.294791666667</v>
      </c>
    </row>
    <row r="1690" spans="1:10" x14ac:dyDescent="0.2">
      <c r="A1690" s="2" t="s">
        <v>10</v>
      </c>
      <c r="B1690" s="3" t="str">
        <f t="shared" si="36"/>
        <v>France - HCP Survey Email - June 2025</v>
      </c>
      <c r="C1690" s="3" t="str">
        <f>HYPERLINK("https://otsuka-europe-crm.veevavault.com/ui/#object/sent_email__v/VBLZ025E82GNO9V", "SE-000273326")</f>
        <v>SE-000273326</v>
      </c>
      <c r="D1690" s="4" t="s">
        <v>11</v>
      </c>
      <c r="E1690" s="5">
        <v>0</v>
      </c>
      <c r="F1690" s="5">
        <v>0</v>
      </c>
      <c r="G1690" s="5">
        <v>0</v>
      </c>
      <c r="H1690" s="4" t="s">
        <v>11</v>
      </c>
      <c r="I1690" s="5">
        <v>0</v>
      </c>
      <c r="J1690" s="4">
        <v>45916.294814814813</v>
      </c>
    </row>
    <row r="1691" spans="1:10" x14ac:dyDescent="0.2">
      <c r="A1691" s="2" t="s">
        <v>10</v>
      </c>
      <c r="B1691" s="3" t="str">
        <f t="shared" si="36"/>
        <v>France - HCP Survey Email - June 2025</v>
      </c>
      <c r="C1691" s="3" t="str">
        <f>HYPERLINK("https://otsuka-europe-crm.veevavault.com/ui/#object/sent_email__v/VBLZ025E82GNO9W", "SE-000273327")</f>
        <v>SE-000273327</v>
      </c>
      <c r="D1691" s="4" t="s">
        <v>11</v>
      </c>
      <c r="E1691" s="5">
        <v>0</v>
      </c>
      <c r="F1691" s="5">
        <v>0</v>
      </c>
      <c r="G1691" s="5">
        <v>0</v>
      </c>
      <c r="H1691" s="4" t="s">
        <v>11</v>
      </c>
      <c r="I1691" s="5">
        <v>0</v>
      </c>
      <c r="J1691" s="4">
        <v>45916.294409722221</v>
      </c>
    </row>
    <row r="1692" spans="1:10" x14ac:dyDescent="0.2">
      <c r="A1692" s="2" t="s">
        <v>10</v>
      </c>
      <c r="B1692" s="3" t="str">
        <f t="shared" si="36"/>
        <v>France - HCP Survey Email - June 2025</v>
      </c>
      <c r="C1692" s="3" t="str">
        <f>HYPERLINK("https://otsuka-europe-crm.veevavault.com/ui/#object/sent_email__v/VBLZ025E82GNO9X", "SE-000273328")</f>
        <v>SE-000273328</v>
      </c>
      <c r="D1692" s="4" t="s">
        <v>11</v>
      </c>
      <c r="E1692" s="5">
        <v>0</v>
      </c>
      <c r="F1692" s="5">
        <v>0</v>
      </c>
      <c r="G1692" s="5">
        <v>0</v>
      </c>
      <c r="H1692" s="4" t="s">
        <v>11</v>
      </c>
      <c r="I1692" s="5">
        <v>0</v>
      </c>
      <c r="J1692" s="4">
        <v>45916.294247685182</v>
      </c>
    </row>
    <row r="1693" spans="1:10" x14ac:dyDescent="0.2">
      <c r="A1693" s="2" t="s">
        <v>10</v>
      </c>
      <c r="B1693" s="3" t="str">
        <f t="shared" si="36"/>
        <v>France - HCP Survey Email - June 2025</v>
      </c>
      <c r="C1693" s="3" t="str">
        <f>HYPERLINK("https://otsuka-europe-crm.veevavault.com/ui/#object/sent_email__v/VBLZ025E82GNO9Y", "SE-000273329")</f>
        <v>SE-000273329</v>
      </c>
      <c r="D1693" s="4" t="s">
        <v>11</v>
      </c>
      <c r="E1693" s="5">
        <v>0</v>
      </c>
      <c r="F1693" s="5">
        <v>0</v>
      </c>
      <c r="G1693" s="5">
        <v>0</v>
      </c>
      <c r="H1693" s="4" t="s">
        <v>11</v>
      </c>
      <c r="I1693" s="5">
        <v>0</v>
      </c>
      <c r="J1693" s="4">
        <v>45916.294699074075</v>
      </c>
    </row>
    <row r="1694" spans="1:10" x14ac:dyDescent="0.2">
      <c r="A1694" s="2" t="s">
        <v>10</v>
      </c>
      <c r="B1694" s="3" t="str">
        <f t="shared" si="36"/>
        <v>France - HCP Survey Email - June 2025</v>
      </c>
      <c r="C1694" s="3" t="str">
        <f>HYPERLINK("https://otsuka-europe-crm.veevavault.com/ui/#object/sent_email__v/VBLZ025E82GNO9Z", "SE-000273330")</f>
        <v>SE-000273330</v>
      </c>
      <c r="D1694" s="4" t="s">
        <v>11</v>
      </c>
      <c r="E1694" s="5">
        <v>0</v>
      </c>
      <c r="F1694" s="5">
        <v>0</v>
      </c>
      <c r="G1694" s="5">
        <v>0</v>
      </c>
      <c r="H1694" s="4" t="s">
        <v>11</v>
      </c>
      <c r="I1694" s="5">
        <v>0</v>
      </c>
      <c r="J1694" s="4">
        <v>45916.294444444444</v>
      </c>
    </row>
    <row r="1695" spans="1:10" x14ac:dyDescent="0.2">
      <c r="A1695" s="2" t="s">
        <v>10</v>
      </c>
      <c r="B1695" s="3" t="str">
        <f t="shared" si="36"/>
        <v>France - HCP Survey Email - June 2025</v>
      </c>
      <c r="C1695" s="3" t="str">
        <f>HYPERLINK("https://otsuka-europe-crm.veevavault.com/ui/#object/sent_email__v/VBLZ025E82GNOA0", "SE-000273331")</f>
        <v>SE-000273331</v>
      </c>
      <c r="D1695" s="4" t="s">
        <v>11</v>
      </c>
      <c r="E1695" s="5">
        <v>0</v>
      </c>
      <c r="F1695" s="5">
        <v>0</v>
      </c>
      <c r="G1695" s="5">
        <v>0</v>
      </c>
      <c r="H1695" s="4" t="s">
        <v>11</v>
      </c>
      <c r="I1695" s="5">
        <v>0</v>
      </c>
      <c r="J1695" s="4">
        <v>45916.294270833336</v>
      </c>
    </row>
    <row r="1696" spans="1:10" x14ac:dyDescent="0.2">
      <c r="A1696" s="2" t="s">
        <v>10</v>
      </c>
      <c r="B1696" s="3" t="str">
        <f t="shared" si="36"/>
        <v>France - HCP Survey Email - June 2025</v>
      </c>
      <c r="C1696" s="3" t="str">
        <f>HYPERLINK("https://otsuka-europe-crm.veevavault.com/ui/#object/sent_email__v/VBLZ025E82GNOA1", "SE-000273332")</f>
        <v>SE-000273332</v>
      </c>
      <c r="D1696" s="4" t="s">
        <v>11</v>
      </c>
      <c r="E1696" s="5">
        <v>0</v>
      </c>
      <c r="F1696" s="5">
        <v>0</v>
      </c>
      <c r="G1696" s="5">
        <v>0</v>
      </c>
      <c r="H1696" s="4" t="s">
        <v>11</v>
      </c>
      <c r="I1696" s="5">
        <v>0</v>
      </c>
      <c r="J1696" s="4">
        <v>45916.294976851852</v>
      </c>
    </row>
    <row r="1697" spans="1:10" x14ac:dyDescent="0.2">
      <c r="A1697" s="2" t="s">
        <v>10</v>
      </c>
      <c r="B1697" s="3" t="str">
        <f t="shared" si="36"/>
        <v>France - HCP Survey Email - June 2025</v>
      </c>
      <c r="C1697" s="3" t="str">
        <f>HYPERLINK("https://otsuka-europe-crm.veevavault.com/ui/#object/sent_email__v/VBLZ025E82GNOA2", "SE-000273333")</f>
        <v>SE-000273333</v>
      </c>
      <c r="D1697" s="4" t="s">
        <v>11</v>
      </c>
      <c r="E1697" s="5">
        <v>0</v>
      </c>
      <c r="F1697" s="5">
        <v>0</v>
      </c>
      <c r="G1697" s="5">
        <v>0</v>
      </c>
      <c r="H1697" s="4" t="s">
        <v>11</v>
      </c>
      <c r="I1697" s="5">
        <v>0</v>
      </c>
      <c r="J1697" s="4">
        <v>45916.294803240744</v>
      </c>
    </row>
    <row r="1698" spans="1:10" x14ac:dyDescent="0.2">
      <c r="A1698" s="2" t="s">
        <v>10</v>
      </c>
      <c r="B1698" s="3" t="str">
        <f t="shared" si="36"/>
        <v>France - HCP Survey Email - June 2025</v>
      </c>
      <c r="C1698" s="3" t="str">
        <f>HYPERLINK("https://otsuka-europe-crm.veevavault.com/ui/#object/sent_email__v/VBLZ025E82GNOA3", "SE-000273334")</f>
        <v>SE-000273334</v>
      </c>
      <c r="D1698" s="4" t="s">
        <v>11</v>
      </c>
      <c r="E1698" s="5">
        <v>0</v>
      </c>
      <c r="F1698" s="5">
        <v>0</v>
      </c>
      <c r="G1698" s="5">
        <v>0</v>
      </c>
      <c r="H1698" s="4" t="s">
        <v>11</v>
      </c>
      <c r="I1698" s="5">
        <v>0</v>
      </c>
      <c r="J1698" s="4">
        <v>45916.294432870367</v>
      </c>
    </row>
    <row r="1699" spans="1:10" x14ac:dyDescent="0.2">
      <c r="A1699" s="2" t="s">
        <v>10</v>
      </c>
      <c r="B1699" s="3" t="str">
        <f t="shared" si="36"/>
        <v>France - HCP Survey Email - June 2025</v>
      </c>
      <c r="C1699" s="3" t="str">
        <f>HYPERLINK("https://otsuka-europe-crm.veevavault.com/ui/#object/sent_email__v/VBLZ025E82GNOA4", "SE-000273335")</f>
        <v>SE-000273335</v>
      </c>
      <c r="D1699" s="4">
        <v>45924.114270833335</v>
      </c>
      <c r="E1699" s="5">
        <v>1</v>
      </c>
      <c r="F1699" s="5">
        <v>1</v>
      </c>
      <c r="G1699" s="5">
        <v>0</v>
      </c>
      <c r="H1699" s="4" t="s">
        <v>11</v>
      </c>
      <c r="I1699" s="5">
        <v>0</v>
      </c>
      <c r="J1699" s="4">
        <v>45916.294270833336</v>
      </c>
    </row>
    <row r="1700" spans="1:10" x14ac:dyDescent="0.2">
      <c r="A1700" s="2" t="s">
        <v>10</v>
      </c>
      <c r="B1700" s="3" t="str">
        <f t="shared" si="36"/>
        <v>France - HCP Survey Email - June 2025</v>
      </c>
      <c r="C1700" s="3" t="str">
        <f>HYPERLINK("https://otsuka-europe-crm.veevavault.com/ui/#object/sent_email__v/VBLZ025E82GNOA5", "SE-000273336")</f>
        <v>SE-000273336</v>
      </c>
      <c r="D1700" s="4" t="s">
        <v>11</v>
      </c>
      <c r="E1700" s="5">
        <v>0</v>
      </c>
      <c r="F1700" s="5">
        <v>0</v>
      </c>
      <c r="G1700" s="5">
        <v>0</v>
      </c>
      <c r="H1700" s="4" t="s">
        <v>11</v>
      </c>
      <c r="I1700" s="5">
        <v>0</v>
      </c>
      <c r="J1700" s="4">
        <v>45916.294895833336</v>
      </c>
    </row>
    <row r="1701" spans="1:10" x14ac:dyDescent="0.2">
      <c r="A1701" s="2" t="s">
        <v>10</v>
      </c>
      <c r="B1701" s="3" t="str">
        <f t="shared" si="36"/>
        <v>France - HCP Survey Email - June 2025</v>
      </c>
      <c r="C1701" s="3" t="str">
        <f>HYPERLINK("https://otsuka-europe-crm.veevavault.com/ui/#object/sent_email__v/VBLZ025E82GNOA6", "SE-000273337")</f>
        <v>SE-000273337</v>
      </c>
      <c r="D1701" s="4" t="s">
        <v>11</v>
      </c>
      <c r="E1701" s="5">
        <v>0</v>
      </c>
      <c r="F1701" s="5">
        <v>0</v>
      </c>
      <c r="G1701" s="5">
        <v>0</v>
      </c>
      <c r="H1701" s="4" t="s">
        <v>11</v>
      </c>
      <c r="I1701" s="5">
        <v>0</v>
      </c>
      <c r="J1701" s="4">
        <v>45916.294641203705</v>
      </c>
    </row>
    <row r="1702" spans="1:10" x14ac:dyDescent="0.2">
      <c r="A1702" s="2" t="s">
        <v>10</v>
      </c>
      <c r="B1702" s="3" t="str">
        <f t="shared" si="36"/>
        <v>France - HCP Survey Email - June 2025</v>
      </c>
      <c r="C1702" s="3" t="str">
        <f>HYPERLINK("https://otsuka-europe-crm.veevavault.com/ui/#object/sent_email__v/VBLZ025E82GNOA7", "SE-000273338")</f>
        <v>SE-000273338</v>
      </c>
      <c r="D1702" s="4" t="s">
        <v>11</v>
      </c>
      <c r="E1702" s="5">
        <v>0</v>
      </c>
      <c r="F1702" s="5">
        <v>0</v>
      </c>
      <c r="G1702" s="5">
        <v>0</v>
      </c>
      <c r="H1702" s="4" t="s">
        <v>11</v>
      </c>
      <c r="I1702" s="5">
        <v>0</v>
      </c>
      <c r="J1702" s="4">
        <v>45916.29446759259</v>
      </c>
    </row>
    <row r="1703" spans="1:10" x14ac:dyDescent="0.2">
      <c r="A1703" s="2" t="s">
        <v>10</v>
      </c>
      <c r="B1703" s="3" t="str">
        <f t="shared" si="36"/>
        <v>France - HCP Survey Email - June 2025</v>
      </c>
      <c r="C1703" s="3" t="str">
        <f>HYPERLINK("https://otsuka-europe-crm.veevavault.com/ui/#object/sent_email__v/VBLZ025E82GNOA8", "SE-000273339")</f>
        <v>SE-000273339</v>
      </c>
      <c r="D1703" s="4">
        <v>45916.294872685183</v>
      </c>
      <c r="E1703" s="5">
        <v>1</v>
      </c>
      <c r="F1703" s="5">
        <v>1</v>
      </c>
      <c r="G1703" s="5">
        <v>1</v>
      </c>
      <c r="H1703" s="4">
        <v>45916.294872685183</v>
      </c>
      <c r="I1703" s="5">
        <v>1</v>
      </c>
      <c r="J1703" s="4">
        <v>45916.294224537036</v>
      </c>
    </row>
    <row r="1704" spans="1:10" x14ac:dyDescent="0.2">
      <c r="A1704" s="2" t="s">
        <v>10</v>
      </c>
      <c r="B1704" s="3" t="str">
        <f t="shared" si="36"/>
        <v>France - HCP Survey Email - June 2025</v>
      </c>
      <c r="C1704" s="3" t="str">
        <f>HYPERLINK("https://otsuka-europe-crm.veevavault.com/ui/#object/sent_email__v/VBLZ025E82GNOA9", "SE-000273340")</f>
        <v>SE-000273340</v>
      </c>
      <c r="D1704" s="4" t="s">
        <v>11</v>
      </c>
      <c r="E1704" s="5">
        <v>0</v>
      </c>
      <c r="F1704" s="5">
        <v>0</v>
      </c>
      <c r="G1704" s="5">
        <v>0</v>
      </c>
      <c r="H1704" s="4" t="s">
        <v>11</v>
      </c>
      <c r="I1704" s="5">
        <v>0</v>
      </c>
      <c r="J1704" s="4">
        <v>45916.294756944444</v>
      </c>
    </row>
    <row r="1705" spans="1:10" x14ac:dyDescent="0.2">
      <c r="A1705" s="2" t="s">
        <v>10</v>
      </c>
      <c r="B1705" s="3" t="str">
        <f t="shared" si="36"/>
        <v>France - HCP Survey Email - June 2025</v>
      </c>
      <c r="C1705" s="3" t="str">
        <f>HYPERLINK("https://otsuka-europe-crm.veevavault.com/ui/#object/sent_email__v/VBLZ025E82GNOAA", "SE-000273341")</f>
        <v>SE-000273341</v>
      </c>
      <c r="D1705" s="4">
        <v>45916.323437500003</v>
      </c>
      <c r="E1705" s="5">
        <v>1</v>
      </c>
      <c r="F1705" s="5">
        <v>1</v>
      </c>
      <c r="G1705" s="5">
        <v>0</v>
      </c>
      <c r="H1705" s="4" t="s">
        <v>11</v>
      </c>
      <c r="I1705" s="5">
        <v>0</v>
      </c>
      <c r="J1705" s="4">
        <v>45916.294490740744</v>
      </c>
    </row>
    <row r="1706" spans="1:10" x14ac:dyDescent="0.2">
      <c r="A1706" s="2" t="s">
        <v>10</v>
      </c>
      <c r="B1706" s="3" t="str">
        <f t="shared" si="36"/>
        <v>France - HCP Survey Email - June 2025</v>
      </c>
      <c r="C1706" s="3" t="str">
        <f>HYPERLINK("https://otsuka-europe-crm.veevavault.com/ui/#object/sent_email__v/VBLZ025E82GNOAB", "SE-000273342")</f>
        <v>SE-000273342</v>
      </c>
      <c r="D1706" s="4" t="s">
        <v>11</v>
      </c>
      <c r="E1706" s="5">
        <v>0</v>
      </c>
      <c r="F1706" s="5">
        <v>0</v>
      </c>
      <c r="G1706" s="5">
        <v>0</v>
      </c>
      <c r="H1706" s="4" t="s">
        <v>11</v>
      </c>
      <c r="I1706" s="5">
        <v>0</v>
      </c>
      <c r="J1706" s="4">
        <v>45916.294444444444</v>
      </c>
    </row>
    <row r="1707" spans="1:10" x14ac:dyDescent="0.2">
      <c r="A1707" s="2" t="s">
        <v>10</v>
      </c>
      <c r="B1707" s="3" t="str">
        <f t="shared" si="36"/>
        <v>France - HCP Survey Email - June 2025</v>
      </c>
      <c r="C1707" s="3" t="str">
        <f>HYPERLINK("https://otsuka-europe-crm.veevavault.com/ui/#object/sent_email__v/VBLZ025E82GNOAC", "SE-000273343")</f>
        <v>SE-000273343</v>
      </c>
      <c r="D1707" s="4" t="s">
        <v>11</v>
      </c>
      <c r="E1707" s="5">
        <v>0</v>
      </c>
      <c r="F1707" s="5">
        <v>0</v>
      </c>
      <c r="G1707" s="5">
        <v>0</v>
      </c>
      <c r="H1707" s="4" t="s">
        <v>11</v>
      </c>
      <c r="I1707" s="5">
        <v>0</v>
      </c>
      <c r="J1707" s="4">
        <v>45916.295046296298</v>
      </c>
    </row>
    <row r="1708" spans="1:10" x14ac:dyDescent="0.2">
      <c r="A1708" s="2" t="s">
        <v>10</v>
      </c>
      <c r="B1708" s="3" t="str">
        <f t="shared" si="36"/>
        <v>France - HCP Survey Email - June 2025</v>
      </c>
      <c r="C1708" s="3" t="str">
        <f>HYPERLINK("https://otsuka-europe-crm.veevavault.com/ui/#object/sent_email__v/VBLZ025E82GNOAD", "SE-000273344")</f>
        <v>SE-000273344</v>
      </c>
      <c r="D1708" s="4">
        <v>45916.42291666667</v>
      </c>
      <c r="E1708" s="5">
        <v>1</v>
      </c>
      <c r="F1708" s="5">
        <v>1</v>
      </c>
      <c r="G1708" s="5">
        <v>0</v>
      </c>
      <c r="H1708" s="4" t="s">
        <v>11</v>
      </c>
      <c r="I1708" s="5">
        <v>0</v>
      </c>
      <c r="J1708" s="4">
        <v>45916.294791666667</v>
      </c>
    </row>
    <row r="1709" spans="1:10" x14ac:dyDescent="0.2">
      <c r="A1709" s="2" t="s">
        <v>10</v>
      </c>
      <c r="B1709" s="3" t="str">
        <f t="shared" si="36"/>
        <v>France - HCP Survey Email - June 2025</v>
      </c>
      <c r="C1709" s="3" t="str">
        <f>HYPERLINK("https://otsuka-europe-crm.veevavault.com/ui/#object/sent_email__v/VBLZ025E82GNOAE", "SE-000273345")</f>
        <v>SE-000273345</v>
      </c>
      <c r="D1709" s="4" t="s">
        <v>11</v>
      </c>
      <c r="E1709" s="5">
        <v>0</v>
      </c>
      <c r="F1709" s="5">
        <v>0</v>
      </c>
      <c r="G1709" s="5">
        <v>0</v>
      </c>
      <c r="H1709" s="4" t="s">
        <v>11</v>
      </c>
      <c r="I1709" s="5">
        <v>0</v>
      </c>
      <c r="J1709" s="4">
        <v>45916.294421296298</v>
      </c>
    </row>
    <row r="1710" spans="1:10" x14ac:dyDescent="0.2">
      <c r="A1710" s="2" t="s">
        <v>10</v>
      </c>
      <c r="B1710" s="3" t="str">
        <f t="shared" si="36"/>
        <v>France - HCP Survey Email - June 2025</v>
      </c>
      <c r="C1710" s="3" t="str">
        <f>HYPERLINK("https://otsuka-europe-crm.veevavault.com/ui/#object/sent_email__v/VBLZ025E82GNOAF", "SE-000273346")</f>
        <v>SE-000273346</v>
      </c>
      <c r="D1710" s="4">
        <v>45916.338761574072</v>
      </c>
      <c r="E1710" s="5">
        <v>1</v>
      </c>
      <c r="F1710" s="5">
        <v>1</v>
      </c>
      <c r="G1710" s="5">
        <v>0</v>
      </c>
      <c r="H1710" s="4" t="s">
        <v>11</v>
      </c>
      <c r="I1710" s="5">
        <v>0</v>
      </c>
      <c r="J1710" s="4">
        <v>45916.294189814813</v>
      </c>
    </row>
    <row r="1711" spans="1:10" x14ac:dyDescent="0.2">
      <c r="A1711" s="2" t="s">
        <v>10</v>
      </c>
      <c r="B1711" s="3" t="str">
        <f t="shared" si="36"/>
        <v>France - HCP Survey Email - June 2025</v>
      </c>
      <c r="C1711" s="3" t="str">
        <f>HYPERLINK("https://otsuka-europe-crm.veevavault.com/ui/#object/sent_email__v/VBLZ025E82GNOAG", "SE-000273347")</f>
        <v>SE-000273347</v>
      </c>
      <c r="D1711" s="4" t="s">
        <v>11</v>
      </c>
      <c r="E1711" s="5">
        <v>0</v>
      </c>
      <c r="F1711" s="5">
        <v>0</v>
      </c>
      <c r="G1711" s="5">
        <v>0</v>
      </c>
      <c r="H1711" s="4" t="s">
        <v>11</v>
      </c>
      <c r="I1711" s="5">
        <v>0</v>
      </c>
      <c r="J1711" s="4">
        <v>45916.294803240744</v>
      </c>
    </row>
    <row r="1712" spans="1:10" x14ac:dyDescent="0.2">
      <c r="A1712" s="2" t="s">
        <v>10</v>
      </c>
      <c r="B1712" s="3" t="str">
        <f t="shared" si="36"/>
        <v>France - HCP Survey Email - June 2025</v>
      </c>
      <c r="C1712" s="3" t="str">
        <f>HYPERLINK("https://otsuka-europe-crm.veevavault.com/ui/#object/sent_email__v/VBLZ025E82GNOAH", "SE-000273348")</f>
        <v>SE-000273348</v>
      </c>
      <c r="D1712" s="4" t="s">
        <v>11</v>
      </c>
      <c r="E1712" s="5">
        <v>0</v>
      </c>
      <c r="F1712" s="5">
        <v>0</v>
      </c>
      <c r="G1712" s="5">
        <v>0</v>
      </c>
      <c r="H1712" s="4" t="s">
        <v>11</v>
      </c>
      <c r="I1712" s="5">
        <v>0</v>
      </c>
      <c r="J1712" s="4">
        <v>45916.294629629629</v>
      </c>
    </row>
    <row r="1713" spans="1:10" x14ac:dyDescent="0.2">
      <c r="A1713" s="2" t="s">
        <v>10</v>
      </c>
      <c r="B1713" s="3" t="str">
        <f t="shared" si="36"/>
        <v>France - HCP Survey Email - June 2025</v>
      </c>
      <c r="C1713" s="3" t="str">
        <f>HYPERLINK("https://otsuka-europe-crm.veevavault.com/ui/#object/sent_email__v/VBLZ025E82GNOAI", "SE-000273349")</f>
        <v>SE-000273349</v>
      </c>
      <c r="D1713" s="4" t="s">
        <v>11</v>
      </c>
      <c r="E1713" s="5">
        <v>0</v>
      </c>
      <c r="F1713" s="5">
        <v>0</v>
      </c>
      <c r="G1713" s="5">
        <v>0</v>
      </c>
      <c r="H1713" s="4" t="s">
        <v>11</v>
      </c>
      <c r="I1713" s="5">
        <v>0</v>
      </c>
      <c r="J1713" s="4">
        <v>45916.294386574074</v>
      </c>
    </row>
    <row r="1714" spans="1:10" x14ac:dyDescent="0.2">
      <c r="A1714" s="2" t="s">
        <v>10</v>
      </c>
      <c r="B1714" s="3" t="str">
        <f t="shared" si="36"/>
        <v>France - HCP Survey Email - June 2025</v>
      </c>
      <c r="C1714" s="3" t="str">
        <f>HYPERLINK("https://otsuka-europe-crm.veevavault.com/ui/#object/sent_email__v/VBLZ025E82GNOAJ", "SE-000273350")</f>
        <v>SE-000273350</v>
      </c>
      <c r="D1714" s="4" t="s">
        <v>11</v>
      </c>
      <c r="E1714" s="5">
        <v>0</v>
      </c>
      <c r="F1714" s="5">
        <v>0</v>
      </c>
      <c r="G1714" s="5">
        <v>0</v>
      </c>
      <c r="H1714" s="4" t="s">
        <v>11</v>
      </c>
      <c r="I1714" s="5">
        <v>0</v>
      </c>
      <c r="J1714" s="4">
        <v>45916.29488425926</v>
      </c>
    </row>
    <row r="1715" spans="1:10" x14ac:dyDescent="0.2">
      <c r="A1715" s="2" t="s">
        <v>10</v>
      </c>
      <c r="B1715" s="3" t="str">
        <f t="shared" si="36"/>
        <v>France - HCP Survey Email - June 2025</v>
      </c>
      <c r="C1715" s="3" t="str">
        <f>HYPERLINK("https://otsuka-europe-crm.veevavault.com/ui/#object/sent_email__v/VBLZ025E82GNOAK", "SE-000273351")</f>
        <v>SE-000273351</v>
      </c>
      <c r="D1715" s="4" t="s">
        <v>11</v>
      </c>
      <c r="E1715" s="5">
        <v>0</v>
      </c>
      <c r="F1715" s="5">
        <v>0</v>
      </c>
      <c r="G1715" s="5">
        <v>0</v>
      </c>
      <c r="H1715" s="4" t="s">
        <v>11</v>
      </c>
      <c r="I1715" s="5">
        <v>0</v>
      </c>
      <c r="J1715" s="4">
        <v>45916.294178240743</v>
      </c>
    </row>
    <row r="1716" spans="1:10" x14ac:dyDescent="0.2">
      <c r="A1716" s="2" t="s">
        <v>10</v>
      </c>
      <c r="B1716" s="3" t="str">
        <f t="shared" si="36"/>
        <v>France - HCP Survey Email - June 2025</v>
      </c>
      <c r="C1716" s="3" t="str">
        <f>HYPERLINK("https://otsuka-europe-crm.veevavault.com/ui/#object/sent_email__v/VBLZ025E82GNOAL", "SE-000273352")</f>
        <v>SE-000273352</v>
      </c>
      <c r="D1716" s="4" t="s">
        <v>11</v>
      </c>
      <c r="E1716" s="5">
        <v>0</v>
      </c>
      <c r="F1716" s="5">
        <v>0</v>
      </c>
      <c r="G1716" s="5">
        <v>0</v>
      </c>
      <c r="H1716" s="4" t="s">
        <v>11</v>
      </c>
      <c r="I1716" s="5">
        <v>0</v>
      </c>
      <c r="J1716" s="4">
        <v>45916.294895833336</v>
      </c>
    </row>
    <row r="1717" spans="1:10" x14ac:dyDescent="0.2">
      <c r="A1717" s="2" t="s">
        <v>10</v>
      </c>
      <c r="B1717" s="3" t="str">
        <f t="shared" si="36"/>
        <v>France - HCP Survey Email - June 2025</v>
      </c>
      <c r="C1717" s="3" t="str">
        <f>HYPERLINK("https://otsuka-europe-crm.veevavault.com/ui/#object/sent_email__v/VBLZ025E82GNOAN", "SE-000273354")</f>
        <v>SE-000273354</v>
      </c>
      <c r="D1717" s="4">
        <v>45916.304918981485</v>
      </c>
      <c r="E1717" s="5">
        <v>1</v>
      </c>
      <c r="F1717" s="5">
        <v>1</v>
      </c>
      <c r="G1717" s="5">
        <v>1</v>
      </c>
      <c r="H1717" s="4">
        <v>45916.305474537039</v>
      </c>
      <c r="I1717" s="5">
        <v>1</v>
      </c>
      <c r="J1717" s="4">
        <v>45916.294456018521</v>
      </c>
    </row>
    <row r="1718" spans="1:10" x14ac:dyDescent="0.2">
      <c r="A1718" s="2" t="s">
        <v>10</v>
      </c>
      <c r="B1718" s="3" t="str">
        <f t="shared" si="36"/>
        <v>France - HCP Survey Email - June 2025</v>
      </c>
      <c r="C1718" s="3" t="str">
        <f>HYPERLINK("https://otsuka-europe-crm.veevavault.com/ui/#object/sent_email__v/VBLZ025E82GNOAO", "SE-000273355")</f>
        <v>SE-000273355</v>
      </c>
      <c r="D1718" s="4">
        <v>45916.319652777776</v>
      </c>
      <c r="E1718" s="5">
        <v>1</v>
      </c>
      <c r="F1718" s="5">
        <v>2</v>
      </c>
      <c r="G1718" s="5">
        <v>0</v>
      </c>
      <c r="H1718" s="4" t="s">
        <v>11</v>
      </c>
      <c r="I1718" s="5">
        <v>0</v>
      </c>
      <c r="J1718" s="4">
        <v>45916.294918981483</v>
      </c>
    </row>
    <row r="1719" spans="1:10" x14ac:dyDescent="0.2">
      <c r="A1719" s="2" t="s">
        <v>10</v>
      </c>
      <c r="B1719" s="3" t="str">
        <f t="shared" si="36"/>
        <v>France - HCP Survey Email - June 2025</v>
      </c>
      <c r="C1719" s="3" t="str">
        <f>HYPERLINK("https://otsuka-europe-crm.veevavault.com/ui/#object/sent_email__v/VBLZ025E82GNOAP", "SE-000273356")</f>
        <v>SE-000273356</v>
      </c>
      <c r="D1719" s="4" t="s">
        <v>11</v>
      </c>
      <c r="E1719" s="5">
        <v>0</v>
      </c>
      <c r="F1719" s="5">
        <v>0</v>
      </c>
      <c r="G1719" s="5">
        <v>0</v>
      </c>
      <c r="H1719" s="4" t="s">
        <v>11</v>
      </c>
      <c r="I1719" s="5">
        <v>0</v>
      </c>
      <c r="J1719" s="4">
        <v>45916.29482638889</v>
      </c>
    </row>
    <row r="1720" spans="1:10" x14ac:dyDescent="0.2">
      <c r="A1720" s="2" t="s">
        <v>10</v>
      </c>
      <c r="B1720" s="3" t="str">
        <f t="shared" si="36"/>
        <v>France - HCP Survey Email - June 2025</v>
      </c>
      <c r="C1720" s="3" t="str">
        <f>HYPERLINK("https://otsuka-europe-crm.veevavault.com/ui/#object/sent_email__v/VBLZ025E82GNOAQ", "SE-000273357")</f>
        <v>SE-000273357</v>
      </c>
      <c r="D1720" s="4">
        <v>45933.782893518517</v>
      </c>
      <c r="E1720" s="5">
        <v>1</v>
      </c>
      <c r="F1720" s="5">
        <v>1</v>
      </c>
      <c r="G1720" s="5">
        <v>0</v>
      </c>
      <c r="H1720" s="4" t="s">
        <v>11</v>
      </c>
      <c r="I1720" s="5">
        <v>0</v>
      </c>
      <c r="J1720" s="4">
        <v>45916.294699074075</v>
      </c>
    </row>
    <row r="1721" spans="1:10" x14ac:dyDescent="0.2">
      <c r="A1721" s="2" t="s">
        <v>10</v>
      </c>
      <c r="B1721" s="3" t="str">
        <f t="shared" si="36"/>
        <v>France - HCP Survey Email - June 2025</v>
      </c>
      <c r="C1721" s="3" t="str">
        <f>HYPERLINK("https://otsuka-europe-crm.veevavault.com/ui/#object/sent_email__v/VBLZ025E82GNOAR", "SE-000273358")</f>
        <v>SE-000273358</v>
      </c>
      <c r="D1721" s="4">
        <v>45916.294398148151</v>
      </c>
      <c r="E1721" s="5">
        <v>1</v>
      </c>
      <c r="F1721" s="5">
        <v>2</v>
      </c>
      <c r="G1721" s="5">
        <v>1</v>
      </c>
      <c r="H1721" s="4">
        <v>45916.294398148151</v>
      </c>
      <c r="I1721" s="5">
        <v>2</v>
      </c>
      <c r="J1721" s="4">
        <v>45916.294317129628</v>
      </c>
    </row>
    <row r="1722" spans="1:10" x14ac:dyDescent="0.2">
      <c r="A1722" s="2" t="s">
        <v>10</v>
      </c>
      <c r="B1722" s="3" t="str">
        <f t="shared" si="36"/>
        <v>France - HCP Survey Email - June 2025</v>
      </c>
      <c r="C1722" s="3" t="str">
        <f>HYPERLINK("https://otsuka-europe-crm.veevavault.com/ui/#object/sent_email__v/VBLZ025E82GNOAS", "SE-000273359")</f>
        <v>SE-000273359</v>
      </c>
      <c r="D1722" s="4" t="s">
        <v>11</v>
      </c>
      <c r="E1722" s="5">
        <v>0</v>
      </c>
      <c r="F1722" s="5">
        <v>0</v>
      </c>
      <c r="G1722" s="5">
        <v>0</v>
      </c>
      <c r="H1722" s="4" t="s">
        <v>11</v>
      </c>
      <c r="I1722" s="5">
        <v>0</v>
      </c>
      <c r="J1722" s="4">
        <v>45916.294988425929</v>
      </c>
    </row>
    <row r="1723" spans="1:10" x14ac:dyDescent="0.2">
      <c r="A1723" s="2" t="s">
        <v>10</v>
      </c>
      <c r="B1723" s="3" t="str">
        <f t="shared" si="36"/>
        <v>France - HCP Survey Email - June 2025</v>
      </c>
      <c r="C1723" s="3" t="str">
        <f>HYPERLINK("https://otsuka-europe-crm.veevavault.com/ui/#object/sent_email__v/VBLZ025E82GNOAT", "SE-000273360")</f>
        <v>SE-000273360</v>
      </c>
      <c r="D1723" s="4" t="s">
        <v>11</v>
      </c>
      <c r="E1723" s="5">
        <v>0</v>
      </c>
      <c r="F1723" s="5">
        <v>0</v>
      </c>
      <c r="G1723" s="5">
        <v>0</v>
      </c>
      <c r="H1723" s="4" t="s">
        <v>11</v>
      </c>
      <c r="I1723" s="5">
        <v>0</v>
      </c>
      <c r="J1723" s="4">
        <v>45916.294606481482</v>
      </c>
    </row>
    <row r="1724" spans="1:10" x14ac:dyDescent="0.2">
      <c r="A1724" s="2" t="s">
        <v>10</v>
      </c>
      <c r="B1724" s="3" t="str">
        <f t="shared" si="36"/>
        <v>France - HCP Survey Email - June 2025</v>
      </c>
      <c r="C1724" s="3" t="str">
        <f>HYPERLINK("https://otsuka-europe-crm.veevavault.com/ui/#object/sent_email__v/VBLZ025E82GNOAV", "SE-000273362")</f>
        <v>SE-000273362</v>
      </c>
      <c r="D1724" s="4" t="s">
        <v>11</v>
      </c>
      <c r="E1724" s="5">
        <v>0</v>
      </c>
      <c r="F1724" s="5">
        <v>0</v>
      </c>
      <c r="G1724" s="5">
        <v>0</v>
      </c>
      <c r="H1724" s="4" t="s">
        <v>11</v>
      </c>
      <c r="I1724" s="5">
        <v>0</v>
      </c>
      <c r="J1724" s="4">
        <v>45916.294224537036</v>
      </c>
    </row>
    <row r="1725" spans="1:10" x14ac:dyDescent="0.2">
      <c r="A1725" s="2" t="s">
        <v>10</v>
      </c>
      <c r="B1725" s="3" t="str">
        <f t="shared" si="36"/>
        <v>France - HCP Survey Email - June 2025</v>
      </c>
      <c r="C1725" s="3" t="str">
        <f>HYPERLINK("https://otsuka-europe-crm.veevavault.com/ui/#object/sent_email__v/VBLZ025E82GNOAW", "SE-000273363")</f>
        <v>SE-000273363</v>
      </c>
      <c r="D1725" s="4" t="s">
        <v>11</v>
      </c>
      <c r="E1725" s="5">
        <v>0</v>
      </c>
      <c r="F1725" s="5">
        <v>0</v>
      </c>
      <c r="G1725" s="5">
        <v>0</v>
      </c>
      <c r="H1725" s="4" t="s">
        <v>11</v>
      </c>
      <c r="I1725" s="5">
        <v>0</v>
      </c>
      <c r="J1725" s="4">
        <v>45916.294803240744</v>
      </c>
    </row>
    <row r="1726" spans="1:10" x14ac:dyDescent="0.2">
      <c r="A1726" s="2" t="s">
        <v>10</v>
      </c>
      <c r="B1726" s="3" t="str">
        <f t="shared" si="36"/>
        <v>France - HCP Survey Email - June 2025</v>
      </c>
      <c r="C1726" s="3" t="str">
        <f>HYPERLINK("https://otsuka-europe-crm.veevavault.com/ui/#object/sent_email__v/VBLZ025E82GNOAX", "SE-000273364")</f>
        <v>SE-000273364</v>
      </c>
      <c r="D1726" s="4" t="s">
        <v>11</v>
      </c>
      <c r="E1726" s="5">
        <v>0</v>
      </c>
      <c r="F1726" s="5">
        <v>0</v>
      </c>
      <c r="G1726" s="5">
        <v>0</v>
      </c>
      <c r="H1726" s="4" t="s">
        <v>11</v>
      </c>
      <c r="I1726" s="5">
        <v>0</v>
      </c>
      <c r="J1726" s="4">
        <v>45916.294560185182</v>
      </c>
    </row>
    <row r="1727" spans="1:10" x14ac:dyDescent="0.2">
      <c r="A1727" s="2" t="s">
        <v>10</v>
      </c>
      <c r="B1727" s="3" t="str">
        <f t="shared" si="36"/>
        <v>France - HCP Survey Email - June 2025</v>
      </c>
      <c r="C1727" s="3" t="str">
        <f>HYPERLINK("https://otsuka-europe-crm.veevavault.com/ui/#object/sent_email__v/VBLZ025E82GNOAY", "SE-000273365")</f>
        <v>SE-000273365</v>
      </c>
      <c r="D1727" s="4" t="s">
        <v>11</v>
      </c>
      <c r="E1727" s="5">
        <v>0</v>
      </c>
      <c r="F1727" s="5">
        <v>0</v>
      </c>
      <c r="G1727" s="5">
        <v>0</v>
      </c>
      <c r="H1727" s="4" t="s">
        <v>11</v>
      </c>
      <c r="I1727" s="5">
        <v>0</v>
      </c>
      <c r="J1727" s="4">
        <v>45916.294409722221</v>
      </c>
    </row>
    <row r="1728" spans="1:10" x14ac:dyDescent="0.2">
      <c r="A1728" s="2" t="s">
        <v>10</v>
      </c>
      <c r="B1728" s="3" t="str">
        <f t="shared" si="36"/>
        <v>France - HCP Survey Email - June 2025</v>
      </c>
      <c r="C1728" s="3" t="str">
        <f>HYPERLINK("https://otsuka-europe-crm.veevavault.com/ui/#object/sent_email__v/VBLZ025E82GNOAZ", "SE-000273366")</f>
        <v>SE-000273366</v>
      </c>
      <c r="D1728" s="4" t="s">
        <v>11</v>
      </c>
      <c r="E1728" s="5">
        <v>0</v>
      </c>
      <c r="F1728" s="5">
        <v>0</v>
      </c>
      <c r="G1728" s="5">
        <v>0</v>
      </c>
      <c r="H1728" s="4" t="s">
        <v>11</v>
      </c>
      <c r="I1728" s="5">
        <v>0</v>
      </c>
      <c r="J1728" s="4">
        <v>45916.295023148145</v>
      </c>
    </row>
    <row r="1729" spans="1:10" x14ac:dyDescent="0.2">
      <c r="A1729" s="2" t="s">
        <v>10</v>
      </c>
      <c r="B1729" s="3" t="str">
        <f t="shared" ref="B1729:B1792" si="37">HYPERLINK("https://otsuka-europe-crm.veevavault.com/ui/#object/approved_document__v/V5OZ025E82TMV97", "France - HCP Survey Email - June 2025")</f>
        <v>France - HCP Survey Email - June 2025</v>
      </c>
      <c r="C1729" s="3" t="str">
        <f>HYPERLINK("https://otsuka-europe-crm.veevavault.com/ui/#object/sent_email__v/VBLZ025E82GNOB0", "SE-000273367")</f>
        <v>SE-000273367</v>
      </c>
      <c r="D1729" s="4" t="s">
        <v>11</v>
      </c>
      <c r="E1729" s="5">
        <v>0</v>
      </c>
      <c r="F1729" s="5">
        <v>0</v>
      </c>
      <c r="G1729" s="5">
        <v>0</v>
      </c>
      <c r="H1729" s="4" t="s">
        <v>11</v>
      </c>
      <c r="I1729" s="5">
        <v>0</v>
      </c>
      <c r="J1729" s="4">
        <v>45916.294733796298</v>
      </c>
    </row>
    <row r="1730" spans="1:10" x14ac:dyDescent="0.2">
      <c r="A1730" s="2" t="s">
        <v>10</v>
      </c>
      <c r="B1730" s="3" t="str">
        <f t="shared" si="37"/>
        <v>France - HCP Survey Email - June 2025</v>
      </c>
      <c r="C1730" s="3" t="str">
        <f>HYPERLINK("https://otsuka-europe-crm.veevavault.com/ui/#object/sent_email__v/VBLZ025E82GNOB1", "SE-000273368")</f>
        <v>SE-000273368</v>
      </c>
      <c r="D1730" s="4" t="s">
        <v>11</v>
      </c>
      <c r="E1730" s="5">
        <v>0</v>
      </c>
      <c r="F1730" s="5">
        <v>0</v>
      </c>
      <c r="G1730" s="5">
        <v>0</v>
      </c>
      <c r="H1730" s="4" t="s">
        <v>11</v>
      </c>
      <c r="I1730" s="5">
        <v>0</v>
      </c>
      <c r="J1730" s="4">
        <v>45916.294409722221</v>
      </c>
    </row>
    <row r="1731" spans="1:10" x14ac:dyDescent="0.2">
      <c r="A1731" s="2" t="s">
        <v>10</v>
      </c>
      <c r="B1731" s="3" t="str">
        <f t="shared" si="37"/>
        <v>France - HCP Survey Email - June 2025</v>
      </c>
      <c r="C1731" s="3" t="str">
        <f>HYPERLINK("https://otsuka-europe-crm.veevavault.com/ui/#object/sent_email__v/VBLZ025E82GNOB2", "SE-000273369")</f>
        <v>SE-000273369</v>
      </c>
      <c r="D1731" s="4" t="s">
        <v>11</v>
      </c>
      <c r="E1731" s="5">
        <v>0</v>
      </c>
      <c r="F1731" s="5">
        <v>0</v>
      </c>
      <c r="G1731" s="5">
        <v>0</v>
      </c>
      <c r="H1731" s="4" t="s">
        <v>11</v>
      </c>
      <c r="I1731" s="5">
        <v>0</v>
      </c>
      <c r="J1731" s="4">
        <v>45916.294236111113</v>
      </c>
    </row>
    <row r="1732" spans="1:10" x14ac:dyDescent="0.2">
      <c r="A1732" s="2" t="s">
        <v>10</v>
      </c>
      <c r="B1732" s="3" t="str">
        <f t="shared" si="37"/>
        <v>France - HCP Survey Email - June 2025</v>
      </c>
      <c r="C1732" s="3" t="str">
        <f>HYPERLINK("https://otsuka-europe-crm.veevavault.com/ui/#object/sent_email__v/VBLZ025E82GNOB3", "SE-000273370")</f>
        <v>SE-000273370</v>
      </c>
      <c r="D1732" s="4" t="s">
        <v>11</v>
      </c>
      <c r="E1732" s="5">
        <v>0</v>
      </c>
      <c r="F1732" s="5">
        <v>0</v>
      </c>
      <c r="G1732" s="5">
        <v>0</v>
      </c>
      <c r="H1732" s="4" t="s">
        <v>11</v>
      </c>
      <c r="I1732" s="5">
        <v>0</v>
      </c>
      <c r="J1732" s="4">
        <v>45916.295046296298</v>
      </c>
    </row>
    <row r="1733" spans="1:10" x14ac:dyDescent="0.2">
      <c r="A1733" s="2" t="s">
        <v>10</v>
      </c>
      <c r="B1733" s="3" t="str">
        <f t="shared" si="37"/>
        <v>France - HCP Survey Email - June 2025</v>
      </c>
      <c r="C1733" s="3" t="str">
        <f>HYPERLINK("https://otsuka-europe-crm.veevavault.com/ui/#object/sent_email__v/VBLZ025E82GNOB4", "SE-000273371")</f>
        <v>SE-000273371</v>
      </c>
      <c r="D1733" s="4" t="s">
        <v>11</v>
      </c>
      <c r="E1733" s="5">
        <v>0</v>
      </c>
      <c r="F1733" s="5">
        <v>0</v>
      </c>
      <c r="G1733" s="5">
        <v>0</v>
      </c>
      <c r="H1733" s="4" t="s">
        <v>11</v>
      </c>
      <c r="I1733" s="5">
        <v>0</v>
      </c>
      <c r="J1733" s="4">
        <v>45916.294687499998</v>
      </c>
    </row>
    <row r="1734" spans="1:10" x14ac:dyDescent="0.2">
      <c r="A1734" s="2" t="s">
        <v>10</v>
      </c>
      <c r="B1734" s="3" t="str">
        <f t="shared" si="37"/>
        <v>France - HCP Survey Email - June 2025</v>
      </c>
      <c r="C1734" s="3" t="str">
        <f>HYPERLINK("https://otsuka-europe-crm.veevavault.com/ui/#object/sent_email__v/VBLZ025E82GNOB5", "SE-000273372")</f>
        <v>SE-000273372</v>
      </c>
      <c r="D1734" s="4" t="s">
        <v>11</v>
      </c>
      <c r="E1734" s="5">
        <v>0</v>
      </c>
      <c r="F1734" s="5">
        <v>0</v>
      </c>
      <c r="G1734" s="5">
        <v>0</v>
      </c>
      <c r="H1734" s="4" t="s">
        <v>11</v>
      </c>
      <c r="I1734" s="5">
        <v>0</v>
      </c>
      <c r="J1734" s="4">
        <v>45916.294421296298</v>
      </c>
    </row>
    <row r="1735" spans="1:10" x14ac:dyDescent="0.2">
      <c r="A1735" s="2" t="s">
        <v>10</v>
      </c>
      <c r="B1735" s="3" t="str">
        <f t="shared" si="37"/>
        <v>France - HCP Survey Email - June 2025</v>
      </c>
      <c r="C1735" s="3" t="str">
        <f>HYPERLINK("https://otsuka-europe-crm.veevavault.com/ui/#object/sent_email__v/VBLZ025E82GNOB6", "SE-000273373")</f>
        <v>SE-000273373</v>
      </c>
      <c r="D1735" s="4" t="s">
        <v>11</v>
      </c>
      <c r="E1735" s="5">
        <v>0</v>
      </c>
      <c r="F1735" s="5">
        <v>0</v>
      </c>
      <c r="G1735" s="5">
        <v>0</v>
      </c>
      <c r="H1735" s="4" t="s">
        <v>11</v>
      </c>
      <c r="I1735" s="5">
        <v>0</v>
      </c>
      <c r="J1735" s="4">
        <v>45916.294293981482</v>
      </c>
    </row>
    <row r="1736" spans="1:10" x14ac:dyDescent="0.2">
      <c r="A1736" s="2" t="s">
        <v>10</v>
      </c>
      <c r="B1736" s="3" t="str">
        <f t="shared" si="37"/>
        <v>France - HCP Survey Email - June 2025</v>
      </c>
      <c r="C1736" s="3" t="str">
        <f>HYPERLINK("https://otsuka-europe-crm.veevavault.com/ui/#object/sent_email__v/VBLZ025E82GNOB8", "SE-000273375")</f>
        <v>SE-000273375</v>
      </c>
      <c r="D1736" s="4" t="s">
        <v>11</v>
      </c>
      <c r="E1736" s="5">
        <v>0</v>
      </c>
      <c r="F1736" s="5">
        <v>0</v>
      </c>
      <c r="G1736" s="5">
        <v>0</v>
      </c>
      <c r="H1736" s="4" t="s">
        <v>11</v>
      </c>
      <c r="I1736" s="5">
        <v>0</v>
      </c>
      <c r="J1736" s="4">
        <v>45916.294652777775</v>
      </c>
    </row>
    <row r="1737" spans="1:10" x14ac:dyDescent="0.2">
      <c r="A1737" s="2" t="s">
        <v>10</v>
      </c>
      <c r="B1737" s="3" t="str">
        <f t="shared" si="37"/>
        <v>France - HCP Survey Email - June 2025</v>
      </c>
      <c r="C1737" s="3" t="str">
        <f>HYPERLINK("https://otsuka-europe-crm.veevavault.com/ui/#object/sent_email__v/VBLZ025E82GNOB9", "SE-000273376")</f>
        <v>SE-000273376</v>
      </c>
      <c r="D1737" s="4" t="s">
        <v>11</v>
      </c>
      <c r="E1737" s="5">
        <v>0</v>
      </c>
      <c r="F1737" s="5">
        <v>0</v>
      </c>
      <c r="G1737" s="5">
        <v>0</v>
      </c>
      <c r="H1737" s="4" t="s">
        <v>11</v>
      </c>
      <c r="I1737" s="5">
        <v>0</v>
      </c>
      <c r="J1737" s="4">
        <v>45916.294340277775</v>
      </c>
    </row>
    <row r="1738" spans="1:10" x14ac:dyDescent="0.2">
      <c r="A1738" s="2" t="s">
        <v>10</v>
      </c>
      <c r="B1738" s="3" t="str">
        <f t="shared" si="37"/>
        <v>France - HCP Survey Email - June 2025</v>
      </c>
      <c r="C1738" s="3" t="str">
        <f>HYPERLINK("https://otsuka-europe-crm.veevavault.com/ui/#object/sent_email__v/VBLZ025E82GNOBA", "SE-000273377")</f>
        <v>SE-000273377</v>
      </c>
      <c r="D1738" s="4" t="s">
        <v>11</v>
      </c>
      <c r="E1738" s="5">
        <v>0</v>
      </c>
      <c r="F1738" s="5">
        <v>0</v>
      </c>
      <c r="G1738" s="5">
        <v>0</v>
      </c>
      <c r="H1738" s="4" t="s">
        <v>11</v>
      </c>
      <c r="I1738" s="5">
        <v>0</v>
      </c>
      <c r="J1738" s="4">
        <v>45916.294999999998</v>
      </c>
    </row>
    <row r="1739" spans="1:10" x14ac:dyDescent="0.2">
      <c r="A1739" s="2" t="s">
        <v>10</v>
      </c>
      <c r="B1739" s="3" t="str">
        <f t="shared" si="37"/>
        <v>France - HCP Survey Email - June 2025</v>
      </c>
      <c r="C1739" s="3" t="str">
        <f>HYPERLINK("https://otsuka-europe-crm.veevavault.com/ui/#object/sent_email__v/VBLZ025E82GNOBB", "SE-000273378")</f>
        <v>SE-000273378</v>
      </c>
      <c r="D1739" s="4" t="s">
        <v>11</v>
      </c>
      <c r="E1739" s="5">
        <v>0</v>
      </c>
      <c r="F1739" s="5">
        <v>0</v>
      </c>
      <c r="G1739" s="5">
        <v>0</v>
      </c>
      <c r="H1739" s="4" t="s">
        <v>11</v>
      </c>
      <c r="I1739" s="5">
        <v>0</v>
      </c>
      <c r="J1739" s="4">
        <v>45916.294710648152</v>
      </c>
    </row>
    <row r="1740" spans="1:10" x14ac:dyDescent="0.2">
      <c r="A1740" s="2" t="s">
        <v>10</v>
      </c>
      <c r="B1740" s="3" t="str">
        <f t="shared" si="37"/>
        <v>France - HCP Survey Email - June 2025</v>
      </c>
      <c r="C1740" s="3" t="str">
        <f>HYPERLINK("https://otsuka-europe-crm.veevavault.com/ui/#object/sent_email__v/VBLZ025E82GNOBC", "SE-000273379")</f>
        <v>SE-000273379</v>
      </c>
      <c r="D1740" s="4" t="s">
        <v>11</v>
      </c>
      <c r="E1740" s="5">
        <v>0</v>
      </c>
      <c r="F1740" s="5">
        <v>0</v>
      </c>
      <c r="G1740" s="5">
        <v>0</v>
      </c>
      <c r="H1740" s="4" t="s">
        <v>11</v>
      </c>
      <c r="I1740" s="5">
        <v>0</v>
      </c>
      <c r="J1740" s="4">
        <v>45916.294432870367</v>
      </c>
    </row>
    <row r="1741" spans="1:10" x14ac:dyDescent="0.2">
      <c r="A1741" s="2" t="s">
        <v>10</v>
      </c>
      <c r="B1741" s="3" t="str">
        <f t="shared" si="37"/>
        <v>France - HCP Survey Email - June 2025</v>
      </c>
      <c r="C1741" s="3" t="str">
        <f>HYPERLINK("https://otsuka-europe-crm.veevavault.com/ui/#object/sent_email__v/VBLZ025E82GNOBD", "SE-000273380")</f>
        <v>SE-000273380</v>
      </c>
      <c r="D1741" s="4">
        <v>45916.923819444448</v>
      </c>
      <c r="E1741" s="5">
        <v>1</v>
      </c>
      <c r="F1741" s="5">
        <v>2</v>
      </c>
      <c r="G1741" s="5">
        <v>0</v>
      </c>
      <c r="H1741" s="4" t="s">
        <v>11</v>
      </c>
      <c r="I1741" s="5">
        <v>0</v>
      </c>
      <c r="J1741" s="4">
        <v>45916.294305555559</v>
      </c>
    </row>
    <row r="1742" spans="1:10" x14ac:dyDescent="0.2">
      <c r="A1742" s="2" t="s">
        <v>10</v>
      </c>
      <c r="B1742" s="3" t="str">
        <f t="shared" si="37"/>
        <v>France - HCP Survey Email - June 2025</v>
      </c>
      <c r="C1742" s="3" t="str">
        <f>HYPERLINK("https://otsuka-europe-crm.veevavault.com/ui/#object/sent_email__v/VBLZ025E82GNOBE", "SE-000273381")</f>
        <v>SE-000273381</v>
      </c>
      <c r="D1742" s="4" t="s">
        <v>11</v>
      </c>
      <c r="E1742" s="5">
        <v>0</v>
      </c>
      <c r="F1742" s="5">
        <v>0</v>
      </c>
      <c r="G1742" s="5">
        <v>0</v>
      </c>
      <c r="H1742" s="4" t="s">
        <v>11</v>
      </c>
      <c r="I1742" s="5">
        <v>0</v>
      </c>
      <c r="J1742" s="4">
        <v>45916.294988425929</v>
      </c>
    </row>
    <row r="1743" spans="1:10" x14ac:dyDescent="0.2">
      <c r="A1743" s="2" t="s">
        <v>10</v>
      </c>
      <c r="B1743" s="3" t="str">
        <f t="shared" si="37"/>
        <v>France - HCP Survey Email - June 2025</v>
      </c>
      <c r="C1743" s="3" t="str">
        <f>HYPERLINK("https://otsuka-europe-crm.veevavault.com/ui/#object/sent_email__v/VBLZ025E82GNOBF", "SE-000273382")</f>
        <v>SE-000273382</v>
      </c>
      <c r="D1743" s="4" t="s">
        <v>11</v>
      </c>
      <c r="E1743" s="5">
        <v>0</v>
      </c>
      <c r="F1743" s="5">
        <v>0</v>
      </c>
      <c r="G1743" s="5">
        <v>0</v>
      </c>
      <c r="H1743" s="4" t="s">
        <v>11</v>
      </c>
      <c r="I1743" s="5">
        <v>0</v>
      </c>
      <c r="J1743" s="4">
        <v>45916.294768518521</v>
      </c>
    </row>
    <row r="1744" spans="1:10" x14ac:dyDescent="0.2">
      <c r="A1744" s="2" t="s">
        <v>10</v>
      </c>
      <c r="B1744" s="3" t="str">
        <f t="shared" si="37"/>
        <v>France - HCP Survey Email - June 2025</v>
      </c>
      <c r="C1744" s="3" t="str">
        <f>HYPERLINK("https://otsuka-europe-crm.veevavault.com/ui/#object/sent_email__v/VBLZ025E82GNOBG", "SE-000273383")</f>
        <v>SE-000273383</v>
      </c>
      <c r="D1744" s="4" t="s">
        <v>11</v>
      </c>
      <c r="E1744" s="5">
        <v>0</v>
      </c>
      <c r="F1744" s="5">
        <v>0</v>
      </c>
      <c r="G1744" s="5">
        <v>0</v>
      </c>
      <c r="H1744" s="4" t="s">
        <v>11</v>
      </c>
      <c r="I1744" s="5">
        <v>0</v>
      </c>
      <c r="J1744" s="4">
        <v>45916.294398148151</v>
      </c>
    </row>
    <row r="1745" spans="1:10" x14ac:dyDescent="0.2">
      <c r="A1745" s="2" t="s">
        <v>10</v>
      </c>
      <c r="B1745" s="3" t="str">
        <f t="shared" si="37"/>
        <v>France - HCP Survey Email - June 2025</v>
      </c>
      <c r="C1745" s="3" t="str">
        <f>HYPERLINK("https://otsuka-europe-crm.veevavault.com/ui/#object/sent_email__v/VBLZ025E82GNOBI", "SE-000273385")</f>
        <v>SE-000273385</v>
      </c>
      <c r="D1745" s="4" t="s">
        <v>11</v>
      </c>
      <c r="E1745" s="5">
        <v>0</v>
      </c>
      <c r="F1745" s="5">
        <v>0</v>
      </c>
      <c r="G1745" s="5">
        <v>0</v>
      </c>
      <c r="H1745" s="4" t="s">
        <v>11</v>
      </c>
      <c r="I1745" s="5">
        <v>0</v>
      </c>
      <c r="J1745" s="4">
        <v>45916.294872685183</v>
      </c>
    </row>
    <row r="1746" spans="1:10" x14ac:dyDescent="0.2">
      <c r="A1746" s="2" t="s">
        <v>10</v>
      </c>
      <c r="B1746" s="3" t="str">
        <f t="shared" si="37"/>
        <v>France - HCP Survey Email - June 2025</v>
      </c>
      <c r="C1746" s="3" t="str">
        <f>HYPERLINK("https://otsuka-europe-crm.veevavault.com/ui/#object/sent_email__v/VBLZ025E82GNOBJ", "SE-000273386")</f>
        <v>SE-000273386</v>
      </c>
      <c r="D1746" s="4" t="s">
        <v>11</v>
      </c>
      <c r="E1746" s="5">
        <v>0</v>
      </c>
      <c r="F1746" s="5">
        <v>0</v>
      </c>
      <c r="G1746" s="5">
        <v>0</v>
      </c>
      <c r="H1746" s="4" t="s">
        <v>11</v>
      </c>
      <c r="I1746" s="5">
        <v>0</v>
      </c>
      <c r="J1746" s="4">
        <v>45916.294652777775</v>
      </c>
    </row>
    <row r="1747" spans="1:10" x14ac:dyDescent="0.2">
      <c r="A1747" s="2" t="s">
        <v>10</v>
      </c>
      <c r="B1747" s="3" t="str">
        <f t="shared" si="37"/>
        <v>France - HCP Survey Email - June 2025</v>
      </c>
      <c r="C1747" s="3" t="str">
        <f>HYPERLINK("https://otsuka-europe-crm.veevavault.com/ui/#object/sent_email__v/VBLZ025E82GNOBK", "SE-000273387")</f>
        <v>SE-000273387</v>
      </c>
      <c r="D1747" s="4">
        <v>45916.295138888891</v>
      </c>
      <c r="E1747" s="5">
        <v>1</v>
      </c>
      <c r="F1747" s="5">
        <v>1</v>
      </c>
      <c r="G1747" s="5">
        <v>0</v>
      </c>
      <c r="H1747" s="4" t="s">
        <v>11</v>
      </c>
      <c r="I1747" s="5">
        <v>0</v>
      </c>
      <c r="J1747" s="4">
        <v>45916.294432870367</v>
      </c>
    </row>
    <row r="1748" spans="1:10" x14ac:dyDescent="0.2">
      <c r="A1748" s="2" t="s">
        <v>10</v>
      </c>
      <c r="B1748" s="3" t="str">
        <f t="shared" si="37"/>
        <v>France - HCP Survey Email - June 2025</v>
      </c>
      <c r="C1748" s="3" t="str">
        <f>HYPERLINK("https://otsuka-europe-crm.veevavault.com/ui/#object/sent_email__v/VBLZ025E82GNOBL", "SE-000273388")</f>
        <v>SE-000273388</v>
      </c>
      <c r="D1748" s="4">
        <v>45916.486666666664</v>
      </c>
      <c r="E1748" s="5">
        <v>1</v>
      </c>
      <c r="F1748" s="5">
        <v>1</v>
      </c>
      <c r="G1748" s="5">
        <v>0</v>
      </c>
      <c r="H1748" s="4" t="s">
        <v>11</v>
      </c>
      <c r="I1748" s="5">
        <v>0</v>
      </c>
      <c r="J1748" s="4">
        <v>45916.294247685182</v>
      </c>
    </row>
    <row r="1749" spans="1:10" x14ac:dyDescent="0.2">
      <c r="A1749" s="2" t="s">
        <v>10</v>
      </c>
      <c r="B1749" s="3" t="str">
        <f t="shared" si="37"/>
        <v>France - HCP Survey Email - June 2025</v>
      </c>
      <c r="C1749" s="3" t="str">
        <f>HYPERLINK("https://otsuka-europe-crm.veevavault.com/ui/#object/sent_email__v/VBLZ025E82GNOBM", "SE-000273389")</f>
        <v>SE-000273389</v>
      </c>
      <c r="D1749" s="4">
        <v>45916.337361111109</v>
      </c>
      <c r="E1749" s="5">
        <v>1</v>
      </c>
      <c r="F1749" s="5">
        <v>1</v>
      </c>
      <c r="G1749" s="5">
        <v>0</v>
      </c>
      <c r="H1749" s="4" t="s">
        <v>11</v>
      </c>
      <c r="I1749" s="5">
        <v>0</v>
      </c>
      <c r="J1749" s="4">
        <v>45916.294861111113</v>
      </c>
    </row>
    <row r="1750" spans="1:10" x14ac:dyDescent="0.2">
      <c r="A1750" s="2" t="s">
        <v>10</v>
      </c>
      <c r="B1750" s="3" t="str">
        <f t="shared" si="37"/>
        <v>France - HCP Survey Email - June 2025</v>
      </c>
      <c r="C1750" s="3" t="str">
        <f>HYPERLINK("https://otsuka-europe-crm.veevavault.com/ui/#object/sent_email__v/VBLZ025E82GNOBN", "SE-000273390")</f>
        <v>SE-000273390</v>
      </c>
      <c r="D1750" s="4">
        <v>45916.471030092594</v>
      </c>
      <c r="E1750" s="5">
        <v>1</v>
      </c>
      <c r="F1750" s="5">
        <v>2</v>
      </c>
      <c r="G1750" s="5">
        <v>0</v>
      </c>
      <c r="H1750" s="4" t="s">
        <v>11</v>
      </c>
      <c r="I1750" s="5">
        <v>0</v>
      </c>
      <c r="J1750" s="4">
        <v>45916.294675925928</v>
      </c>
    </row>
    <row r="1751" spans="1:10" x14ac:dyDescent="0.2">
      <c r="A1751" s="2" t="s">
        <v>10</v>
      </c>
      <c r="B1751" s="3" t="str">
        <f t="shared" si="37"/>
        <v>France - HCP Survey Email - June 2025</v>
      </c>
      <c r="C1751" s="3" t="str">
        <f>HYPERLINK("https://otsuka-europe-crm.veevavault.com/ui/#object/sent_email__v/VBLZ025E82GNOBO", "SE-000273391")</f>
        <v>SE-000273391</v>
      </c>
      <c r="D1751" s="4" t="s">
        <v>11</v>
      </c>
      <c r="E1751" s="5">
        <v>0</v>
      </c>
      <c r="F1751" s="5">
        <v>0</v>
      </c>
      <c r="G1751" s="5">
        <v>0</v>
      </c>
      <c r="H1751" s="4" t="s">
        <v>11</v>
      </c>
      <c r="I1751" s="5">
        <v>0</v>
      </c>
      <c r="J1751" s="4">
        <v>45916.294374999998</v>
      </c>
    </row>
    <row r="1752" spans="1:10" x14ac:dyDescent="0.2">
      <c r="A1752" s="2" t="s">
        <v>10</v>
      </c>
      <c r="B1752" s="3" t="str">
        <f t="shared" si="37"/>
        <v>France - HCP Survey Email - June 2025</v>
      </c>
      <c r="C1752" s="3" t="str">
        <f>HYPERLINK("https://otsuka-europe-crm.veevavault.com/ui/#object/sent_email__v/VBLZ025E82GNOBP", "SE-000273392")</f>
        <v>SE-000273392</v>
      </c>
      <c r="D1752" s="4" t="s">
        <v>11</v>
      </c>
      <c r="E1752" s="5">
        <v>0</v>
      </c>
      <c r="F1752" s="5">
        <v>0</v>
      </c>
      <c r="G1752" s="5">
        <v>0</v>
      </c>
      <c r="H1752" s="4" t="s">
        <v>11</v>
      </c>
      <c r="I1752" s="5">
        <v>0</v>
      </c>
      <c r="J1752" s="4">
        <v>45916.295023148145</v>
      </c>
    </row>
    <row r="1753" spans="1:10" x14ac:dyDescent="0.2">
      <c r="A1753" s="2" t="s">
        <v>10</v>
      </c>
      <c r="B1753" s="3" t="str">
        <f t="shared" si="37"/>
        <v>France - HCP Survey Email - June 2025</v>
      </c>
      <c r="C1753" s="3" t="str">
        <f>HYPERLINK("https://otsuka-europe-crm.veevavault.com/ui/#object/sent_email__v/VBLZ025E82GNOBQ", "SE-000273393")</f>
        <v>SE-000273393</v>
      </c>
      <c r="D1753" s="4" t="s">
        <v>11</v>
      </c>
      <c r="E1753" s="5">
        <v>0</v>
      </c>
      <c r="F1753" s="5">
        <v>0</v>
      </c>
      <c r="G1753" s="5">
        <v>0</v>
      </c>
      <c r="H1753" s="4" t="s">
        <v>11</v>
      </c>
      <c r="I1753" s="5">
        <v>0</v>
      </c>
      <c r="J1753" s="4">
        <v>45916.294756944444</v>
      </c>
    </row>
    <row r="1754" spans="1:10" x14ac:dyDescent="0.2">
      <c r="A1754" s="2" t="s">
        <v>10</v>
      </c>
      <c r="B1754" s="3" t="str">
        <f t="shared" si="37"/>
        <v>France - HCP Survey Email - June 2025</v>
      </c>
      <c r="C1754" s="3" t="str">
        <f>HYPERLINK("https://otsuka-europe-crm.veevavault.com/ui/#object/sent_email__v/VBLZ025E82GNOBR", "SE-000273394")</f>
        <v>SE-000273394</v>
      </c>
      <c r="D1754" s="4" t="s">
        <v>11</v>
      </c>
      <c r="E1754" s="5">
        <v>0</v>
      </c>
      <c r="F1754" s="5">
        <v>0</v>
      </c>
      <c r="G1754" s="5">
        <v>0</v>
      </c>
      <c r="H1754" s="4" t="s">
        <v>11</v>
      </c>
      <c r="I1754" s="5">
        <v>0</v>
      </c>
      <c r="J1754" s="4">
        <v>45916.294629629629</v>
      </c>
    </row>
    <row r="1755" spans="1:10" x14ac:dyDescent="0.2">
      <c r="A1755" s="2" t="s">
        <v>10</v>
      </c>
      <c r="B1755" s="3" t="str">
        <f t="shared" si="37"/>
        <v>France - HCP Survey Email - June 2025</v>
      </c>
      <c r="C1755" s="3" t="str">
        <f>HYPERLINK("https://otsuka-europe-crm.veevavault.com/ui/#object/sent_email__v/VBLZ025E82GNOBS", "SE-000273395")</f>
        <v>SE-000273395</v>
      </c>
      <c r="D1755" s="4" t="s">
        <v>11</v>
      </c>
      <c r="E1755" s="5">
        <v>0</v>
      </c>
      <c r="F1755" s="5">
        <v>0</v>
      </c>
      <c r="G1755" s="5">
        <v>0</v>
      </c>
      <c r="H1755" s="4" t="s">
        <v>11</v>
      </c>
      <c r="I1755" s="5">
        <v>0</v>
      </c>
      <c r="J1755" s="4">
        <v>45916.294270833336</v>
      </c>
    </row>
    <row r="1756" spans="1:10" x14ac:dyDescent="0.2">
      <c r="A1756" s="2" t="s">
        <v>10</v>
      </c>
      <c r="B1756" s="3" t="str">
        <f t="shared" si="37"/>
        <v>France - HCP Survey Email - June 2025</v>
      </c>
      <c r="C1756" s="3" t="str">
        <f>HYPERLINK("https://otsuka-europe-crm.veevavault.com/ui/#object/sent_email__v/VBLZ025E82GNOBT", "SE-000273396")</f>
        <v>SE-000273396</v>
      </c>
      <c r="D1756" s="4">
        <v>45916.317442129628</v>
      </c>
      <c r="E1756" s="5">
        <v>1</v>
      </c>
      <c r="F1756" s="5">
        <v>1</v>
      </c>
      <c r="G1756" s="5">
        <v>0</v>
      </c>
      <c r="H1756" s="4" t="s">
        <v>11</v>
      </c>
      <c r="I1756" s="5">
        <v>0</v>
      </c>
      <c r="J1756" s="4">
        <v>45916.294976851852</v>
      </c>
    </row>
    <row r="1757" spans="1:10" x14ac:dyDescent="0.2">
      <c r="A1757" s="2" t="s">
        <v>10</v>
      </c>
      <c r="B1757" s="3" t="str">
        <f t="shared" si="37"/>
        <v>France - HCP Survey Email - June 2025</v>
      </c>
      <c r="C1757" s="3" t="str">
        <f>HYPERLINK("https://otsuka-europe-crm.veevavault.com/ui/#object/sent_email__v/VBLZ025E82GNOBU", "SE-000273397")</f>
        <v>SE-000273397</v>
      </c>
      <c r="D1757" s="4" t="s">
        <v>11</v>
      </c>
      <c r="E1757" s="5">
        <v>0</v>
      </c>
      <c r="F1757" s="5">
        <v>0</v>
      </c>
      <c r="G1757" s="5">
        <v>0</v>
      </c>
      <c r="H1757" s="4" t="s">
        <v>11</v>
      </c>
      <c r="I1757" s="5">
        <v>0</v>
      </c>
      <c r="J1757" s="4">
        <v>45916.294710648152</v>
      </c>
    </row>
    <row r="1758" spans="1:10" x14ac:dyDescent="0.2">
      <c r="A1758" s="2" t="s">
        <v>10</v>
      </c>
      <c r="B1758" s="3" t="str">
        <f t="shared" si="37"/>
        <v>France - HCP Survey Email - June 2025</v>
      </c>
      <c r="C1758" s="3" t="str">
        <f>HYPERLINK("https://otsuka-europe-crm.veevavault.com/ui/#object/sent_email__v/VBLZ025E82GNOBV", "SE-000273398")</f>
        <v>SE-000273398</v>
      </c>
      <c r="D1758" s="4" t="s">
        <v>11</v>
      </c>
      <c r="E1758" s="5">
        <v>0</v>
      </c>
      <c r="F1758" s="5">
        <v>0</v>
      </c>
      <c r="G1758" s="5">
        <v>0</v>
      </c>
      <c r="H1758" s="4" t="s">
        <v>11</v>
      </c>
      <c r="I1758" s="5">
        <v>0</v>
      </c>
      <c r="J1758" s="4">
        <v>45916.29446759259</v>
      </c>
    </row>
    <row r="1759" spans="1:10" x14ac:dyDescent="0.2">
      <c r="A1759" s="2" t="s">
        <v>10</v>
      </c>
      <c r="B1759" s="3" t="str">
        <f t="shared" si="37"/>
        <v>France - HCP Survey Email - June 2025</v>
      </c>
      <c r="C1759" s="3" t="str">
        <f>HYPERLINK("https://otsuka-europe-crm.veevavault.com/ui/#object/sent_email__v/VBLZ025E82GNOBW", "SE-000273399")</f>
        <v>SE-000273399</v>
      </c>
      <c r="D1759" s="4" t="s">
        <v>11</v>
      </c>
      <c r="E1759" s="5">
        <v>0</v>
      </c>
      <c r="F1759" s="5">
        <v>0</v>
      </c>
      <c r="G1759" s="5">
        <v>0</v>
      </c>
      <c r="H1759" s="4" t="s">
        <v>11</v>
      </c>
      <c r="I1759" s="5">
        <v>0</v>
      </c>
      <c r="J1759" s="4">
        <v>45916.294224537036</v>
      </c>
    </row>
    <row r="1760" spans="1:10" x14ac:dyDescent="0.2">
      <c r="A1760" s="2" t="s">
        <v>10</v>
      </c>
      <c r="B1760" s="3" t="str">
        <f t="shared" si="37"/>
        <v>France - HCP Survey Email - June 2025</v>
      </c>
      <c r="C1760" s="3" t="str">
        <f>HYPERLINK("https://otsuka-europe-crm.veevavault.com/ui/#object/sent_email__v/VBLZ025E82GNOBY", "SE-000273401")</f>
        <v>SE-000273401</v>
      </c>
      <c r="D1760" s="4" t="s">
        <v>11</v>
      </c>
      <c r="E1760" s="5">
        <v>0</v>
      </c>
      <c r="F1760" s="5">
        <v>0</v>
      </c>
      <c r="G1760" s="5">
        <v>0</v>
      </c>
      <c r="H1760" s="4" t="s">
        <v>11</v>
      </c>
      <c r="I1760" s="5">
        <v>0</v>
      </c>
      <c r="J1760" s="4">
        <v>45916.294571759259</v>
      </c>
    </row>
    <row r="1761" spans="1:10" x14ac:dyDescent="0.2">
      <c r="A1761" s="2" t="s">
        <v>10</v>
      </c>
      <c r="B1761" s="3" t="str">
        <f t="shared" si="37"/>
        <v>France - HCP Survey Email - June 2025</v>
      </c>
      <c r="C1761" s="3" t="str">
        <f>HYPERLINK("https://otsuka-europe-crm.veevavault.com/ui/#object/sent_email__v/VBLZ025E82GNOBZ", "SE-000273402")</f>
        <v>SE-000273402</v>
      </c>
      <c r="D1761" s="4" t="s">
        <v>11</v>
      </c>
      <c r="E1761" s="5">
        <v>0</v>
      </c>
      <c r="F1761" s="5">
        <v>0</v>
      </c>
      <c r="G1761" s="5">
        <v>0</v>
      </c>
      <c r="H1761" s="4" t="s">
        <v>11</v>
      </c>
      <c r="I1761" s="5">
        <v>0</v>
      </c>
      <c r="J1761" s="4">
        <v>45916.294456018521</v>
      </c>
    </row>
    <row r="1762" spans="1:10" x14ac:dyDescent="0.2">
      <c r="A1762" s="2" t="s">
        <v>10</v>
      </c>
      <c r="B1762" s="3" t="str">
        <f t="shared" si="37"/>
        <v>France - HCP Survey Email - June 2025</v>
      </c>
      <c r="C1762" s="3" t="str">
        <f>HYPERLINK("https://otsuka-europe-crm.veevavault.com/ui/#object/sent_email__v/VBLZ025E82GNOC0", "SE-000273403")</f>
        <v>SE-000273403</v>
      </c>
      <c r="D1762" s="4">
        <v>45926.776331018518</v>
      </c>
      <c r="E1762" s="5">
        <v>1</v>
      </c>
      <c r="F1762" s="5">
        <v>5</v>
      </c>
      <c r="G1762" s="5">
        <v>0</v>
      </c>
      <c r="H1762" s="4" t="s">
        <v>11</v>
      </c>
      <c r="I1762" s="5">
        <v>0</v>
      </c>
      <c r="J1762" s="4">
        <v>45916.295046296298</v>
      </c>
    </row>
    <row r="1763" spans="1:10" x14ac:dyDescent="0.2">
      <c r="A1763" s="2" t="s">
        <v>10</v>
      </c>
      <c r="B1763" s="3" t="str">
        <f t="shared" si="37"/>
        <v>France - HCP Survey Email - June 2025</v>
      </c>
      <c r="C1763" s="3" t="str">
        <f>HYPERLINK("https://otsuka-europe-crm.veevavault.com/ui/#object/sent_email__v/VBLZ025E82GNOC2", "SE-000273405")</f>
        <v>SE-000273405</v>
      </c>
      <c r="D1763" s="4">
        <v>45916.324386574073</v>
      </c>
      <c r="E1763" s="5">
        <v>1</v>
      </c>
      <c r="F1763" s="5">
        <v>1</v>
      </c>
      <c r="G1763" s="5">
        <v>0</v>
      </c>
      <c r="H1763" s="4" t="s">
        <v>11</v>
      </c>
      <c r="I1763" s="5">
        <v>0</v>
      </c>
      <c r="J1763" s="4">
        <v>45916.294641203705</v>
      </c>
    </row>
    <row r="1764" spans="1:10" x14ac:dyDescent="0.2">
      <c r="A1764" s="2" t="s">
        <v>10</v>
      </c>
      <c r="B1764" s="3" t="str">
        <f t="shared" si="37"/>
        <v>France - HCP Survey Email - June 2025</v>
      </c>
      <c r="C1764" s="3" t="str">
        <f>HYPERLINK("https://otsuka-europe-crm.veevavault.com/ui/#object/sent_email__v/VBLZ025E82GNOC3", "SE-000273406")</f>
        <v>SE-000273406</v>
      </c>
      <c r="D1764" s="4" t="s">
        <v>11</v>
      </c>
      <c r="E1764" s="5">
        <v>0</v>
      </c>
      <c r="F1764" s="5">
        <v>0</v>
      </c>
      <c r="G1764" s="5">
        <v>0</v>
      </c>
      <c r="H1764" s="4" t="s">
        <v>11</v>
      </c>
      <c r="I1764" s="5">
        <v>0</v>
      </c>
      <c r="J1764" s="4">
        <v>45916.294317129628</v>
      </c>
    </row>
    <row r="1765" spans="1:10" x14ac:dyDescent="0.2">
      <c r="A1765" s="2" t="s">
        <v>10</v>
      </c>
      <c r="B1765" s="3" t="str">
        <f t="shared" si="37"/>
        <v>France - HCP Survey Email - June 2025</v>
      </c>
      <c r="C1765" s="3" t="str">
        <f>HYPERLINK("https://otsuka-europe-crm.veevavault.com/ui/#object/sent_email__v/VBLZ025E82GNOC4", "SE-000273407")</f>
        <v>SE-000273407</v>
      </c>
      <c r="D1765" s="4" t="s">
        <v>11</v>
      </c>
      <c r="E1765" s="5">
        <v>0</v>
      </c>
      <c r="F1765" s="5">
        <v>0</v>
      </c>
      <c r="G1765" s="5">
        <v>0</v>
      </c>
      <c r="H1765" s="4" t="s">
        <v>11</v>
      </c>
      <c r="I1765" s="5">
        <v>0</v>
      </c>
      <c r="J1765" s="4">
        <v>45916.294999999998</v>
      </c>
    </row>
    <row r="1766" spans="1:10" x14ac:dyDescent="0.2">
      <c r="A1766" s="2" t="s">
        <v>10</v>
      </c>
      <c r="B1766" s="3" t="str">
        <f t="shared" si="37"/>
        <v>France - HCP Survey Email - June 2025</v>
      </c>
      <c r="C1766" s="3" t="str">
        <f>HYPERLINK("https://otsuka-europe-crm.veevavault.com/ui/#object/sent_email__v/VBLZ025E82GNOC6", "SE-000273409")</f>
        <v>SE-000273409</v>
      </c>
      <c r="D1766" s="4" t="s">
        <v>11</v>
      </c>
      <c r="E1766" s="5">
        <v>0</v>
      </c>
      <c r="F1766" s="5">
        <v>0</v>
      </c>
      <c r="G1766" s="5">
        <v>0</v>
      </c>
      <c r="H1766" s="4" t="s">
        <v>11</v>
      </c>
      <c r="I1766" s="5">
        <v>0</v>
      </c>
      <c r="J1766" s="4">
        <v>45916.294444444444</v>
      </c>
    </row>
    <row r="1767" spans="1:10" x14ac:dyDescent="0.2">
      <c r="A1767" s="2" t="s">
        <v>10</v>
      </c>
      <c r="B1767" s="3" t="str">
        <f t="shared" si="37"/>
        <v>France - HCP Survey Email - June 2025</v>
      </c>
      <c r="C1767" s="3" t="str">
        <f>HYPERLINK("https://otsuka-europe-crm.veevavault.com/ui/#object/sent_email__v/VBLZ025E82GNOC7", "SE-000273410")</f>
        <v>SE-000273410</v>
      </c>
      <c r="D1767" s="4" t="s">
        <v>11</v>
      </c>
      <c r="E1767" s="5">
        <v>0</v>
      </c>
      <c r="F1767" s="5">
        <v>0</v>
      </c>
      <c r="G1767" s="5">
        <v>0</v>
      </c>
      <c r="H1767" s="4" t="s">
        <v>11</v>
      </c>
      <c r="I1767" s="5">
        <v>0</v>
      </c>
      <c r="J1767" s="4">
        <v>45916.294224537036</v>
      </c>
    </row>
    <row r="1768" spans="1:10" x14ac:dyDescent="0.2">
      <c r="A1768" s="2" t="s">
        <v>10</v>
      </c>
      <c r="B1768" s="3" t="str">
        <f t="shared" si="37"/>
        <v>France - HCP Survey Email - June 2025</v>
      </c>
      <c r="C1768" s="3" t="str">
        <f>HYPERLINK("https://otsuka-europe-crm.veevavault.com/ui/#object/sent_email__v/VBLZ025E82GNOC8", "SE-000273411")</f>
        <v>SE-000273411</v>
      </c>
      <c r="D1768" s="4" t="s">
        <v>11</v>
      </c>
      <c r="E1768" s="5">
        <v>0</v>
      </c>
      <c r="F1768" s="5">
        <v>0</v>
      </c>
      <c r="G1768" s="5">
        <v>0</v>
      </c>
      <c r="H1768" s="4" t="s">
        <v>11</v>
      </c>
      <c r="I1768" s="5">
        <v>0</v>
      </c>
      <c r="J1768" s="4">
        <v>45916.294791666667</v>
      </c>
    </row>
    <row r="1769" spans="1:10" x14ac:dyDescent="0.2">
      <c r="A1769" s="2" t="s">
        <v>10</v>
      </c>
      <c r="B1769" s="3" t="str">
        <f t="shared" si="37"/>
        <v>France - HCP Survey Email - June 2025</v>
      </c>
      <c r="C1769" s="3" t="str">
        <f>HYPERLINK("https://otsuka-europe-crm.veevavault.com/ui/#object/sent_email__v/VBLZ025E82GNOC9", "SE-000273412")</f>
        <v>SE-000273412</v>
      </c>
      <c r="D1769" s="4">
        <v>45916.313900462963</v>
      </c>
      <c r="E1769" s="5">
        <v>1</v>
      </c>
      <c r="F1769" s="5">
        <v>2</v>
      </c>
      <c r="G1769" s="5">
        <v>0</v>
      </c>
      <c r="H1769" s="4" t="s">
        <v>11</v>
      </c>
      <c r="I1769" s="5">
        <v>0</v>
      </c>
      <c r="J1769" s="4">
        <v>45916.294629629629</v>
      </c>
    </row>
    <row r="1770" spans="1:10" x14ac:dyDescent="0.2">
      <c r="A1770" s="2" t="s">
        <v>10</v>
      </c>
      <c r="B1770" s="3" t="str">
        <f t="shared" si="37"/>
        <v>France - HCP Survey Email - June 2025</v>
      </c>
      <c r="C1770" s="3" t="str">
        <f>HYPERLINK("https://otsuka-europe-crm.veevavault.com/ui/#object/sent_email__v/VBLZ025E82GNOCA", "SE-000273413")</f>
        <v>SE-000273413</v>
      </c>
      <c r="D1770" s="4" t="s">
        <v>11</v>
      </c>
      <c r="E1770" s="5">
        <v>0</v>
      </c>
      <c r="F1770" s="5">
        <v>0</v>
      </c>
      <c r="G1770" s="5">
        <v>0</v>
      </c>
      <c r="H1770" s="4" t="s">
        <v>11</v>
      </c>
      <c r="I1770" s="5">
        <v>0</v>
      </c>
      <c r="J1770" s="4">
        <v>45916.294641203705</v>
      </c>
    </row>
    <row r="1771" spans="1:10" x14ac:dyDescent="0.2">
      <c r="A1771" s="2" t="s">
        <v>10</v>
      </c>
      <c r="B1771" s="3" t="str">
        <f t="shared" si="37"/>
        <v>France - HCP Survey Email - June 2025</v>
      </c>
      <c r="C1771" s="3" t="str">
        <f>HYPERLINK("https://otsuka-europe-crm.veevavault.com/ui/#object/sent_email__v/VBLZ025E82GNOCB", "SE-000273414")</f>
        <v>SE-000273414</v>
      </c>
      <c r="D1771" s="4" t="s">
        <v>11</v>
      </c>
      <c r="E1771" s="5">
        <v>0</v>
      </c>
      <c r="F1771" s="5">
        <v>0</v>
      </c>
      <c r="G1771" s="5">
        <v>0</v>
      </c>
      <c r="H1771" s="4" t="s">
        <v>11</v>
      </c>
      <c r="I1771" s="5">
        <v>0</v>
      </c>
      <c r="J1771" s="4">
        <v>45916.294444444444</v>
      </c>
    </row>
    <row r="1772" spans="1:10" x14ac:dyDescent="0.2">
      <c r="A1772" s="2" t="s">
        <v>10</v>
      </c>
      <c r="B1772" s="3" t="str">
        <f t="shared" si="37"/>
        <v>France - HCP Survey Email - June 2025</v>
      </c>
      <c r="C1772" s="3" t="str">
        <f>HYPERLINK("https://otsuka-europe-crm.veevavault.com/ui/#object/sent_email__v/VBLZ025E82GNOCC", "SE-000273415")</f>
        <v>SE-000273415</v>
      </c>
      <c r="D1772" s="4" t="s">
        <v>11</v>
      </c>
      <c r="E1772" s="5">
        <v>0</v>
      </c>
      <c r="F1772" s="5">
        <v>0</v>
      </c>
      <c r="G1772" s="5">
        <v>0</v>
      </c>
      <c r="H1772" s="4" t="s">
        <v>11</v>
      </c>
      <c r="I1772" s="5">
        <v>0</v>
      </c>
      <c r="J1772" s="4">
        <v>45916.294259259259</v>
      </c>
    </row>
    <row r="1773" spans="1:10" x14ac:dyDescent="0.2">
      <c r="A1773" s="2" t="s">
        <v>10</v>
      </c>
      <c r="B1773" s="3" t="str">
        <f t="shared" si="37"/>
        <v>France - HCP Survey Email - June 2025</v>
      </c>
      <c r="C1773" s="3" t="str">
        <f>HYPERLINK("https://otsuka-europe-crm.veevavault.com/ui/#object/sent_email__v/VBLZ025E82GNOCD", "SE-000273416")</f>
        <v>SE-000273416</v>
      </c>
      <c r="D1773" s="4" t="s">
        <v>11</v>
      </c>
      <c r="E1773" s="5">
        <v>0</v>
      </c>
      <c r="F1773" s="5">
        <v>0</v>
      </c>
      <c r="G1773" s="5">
        <v>0</v>
      </c>
      <c r="H1773" s="4" t="s">
        <v>11</v>
      </c>
      <c r="I1773" s="5">
        <v>0</v>
      </c>
      <c r="J1773" s="4">
        <v>45916.294768518521</v>
      </c>
    </row>
    <row r="1774" spans="1:10" x14ac:dyDescent="0.2">
      <c r="A1774" s="2" t="s">
        <v>10</v>
      </c>
      <c r="B1774" s="3" t="str">
        <f t="shared" si="37"/>
        <v>France - HCP Survey Email - June 2025</v>
      </c>
      <c r="C1774" s="3" t="str">
        <f>HYPERLINK("https://otsuka-europe-crm.veevavault.com/ui/#object/sent_email__v/VBLZ025E82GNOCE", "SE-000273417")</f>
        <v>SE-000273417</v>
      </c>
      <c r="D1774" s="4">
        <v>45916.324108796296</v>
      </c>
      <c r="E1774" s="5">
        <v>1</v>
      </c>
      <c r="F1774" s="5">
        <v>1</v>
      </c>
      <c r="G1774" s="5">
        <v>0</v>
      </c>
      <c r="H1774" s="4" t="s">
        <v>11</v>
      </c>
      <c r="I1774" s="5">
        <v>0</v>
      </c>
      <c r="J1774" s="4">
        <v>45916.294641203705</v>
      </c>
    </row>
    <row r="1775" spans="1:10" x14ac:dyDescent="0.2">
      <c r="A1775" s="2" t="s">
        <v>10</v>
      </c>
      <c r="B1775" s="3" t="str">
        <f t="shared" si="37"/>
        <v>France - HCP Survey Email - June 2025</v>
      </c>
      <c r="C1775" s="3" t="str">
        <f>HYPERLINK("https://otsuka-europe-crm.veevavault.com/ui/#object/sent_email__v/VBLZ025E82GNOCF", "SE-000273418")</f>
        <v>SE-000273418</v>
      </c>
      <c r="D1775" s="4">
        <v>45916.294386574074</v>
      </c>
      <c r="E1775" s="5">
        <v>1</v>
      </c>
      <c r="F1775" s="5">
        <v>2</v>
      </c>
      <c r="G1775" s="5">
        <v>1</v>
      </c>
      <c r="H1775" s="4">
        <v>45916.294386574074</v>
      </c>
      <c r="I1775" s="5">
        <v>2</v>
      </c>
      <c r="J1775" s="4">
        <v>45916.294293981482</v>
      </c>
    </row>
    <row r="1776" spans="1:10" x14ac:dyDescent="0.2">
      <c r="A1776" s="2" t="s">
        <v>10</v>
      </c>
      <c r="B1776" s="3" t="str">
        <f t="shared" si="37"/>
        <v>France - HCP Survey Email - June 2025</v>
      </c>
      <c r="C1776" s="3" t="str">
        <f>HYPERLINK("https://otsuka-europe-crm.veevavault.com/ui/#object/sent_email__v/VBLZ025E82GNOCG", "SE-000273419")</f>
        <v>SE-000273419</v>
      </c>
      <c r="D1776" s="4" t="s">
        <v>11</v>
      </c>
      <c r="E1776" s="5">
        <v>0</v>
      </c>
      <c r="F1776" s="5">
        <v>0</v>
      </c>
      <c r="G1776" s="5">
        <v>0</v>
      </c>
      <c r="H1776" s="4" t="s">
        <v>11</v>
      </c>
      <c r="I1776" s="5">
        <v>0</v>
      </c>
      <c r="J1776" s="4">
        <v>45916.294965277775</v>
      </c>
    </row>
    <row r="1777" spans="1:10" x14ac:dyDescent="0.2">
      <c r="A1777" s="2" t="s">
        <v>10</v>
      </c>
      <c r="B1777" s="3" t="str">
        <f t="shared" si="37"/>
        <v>France - HCP Survey Email - June 2025</v>
      </c>
      <c r="C1777" s="3" t="str">
        <f>HYPERLINK("https://otsuka-europe-crm.veevavault.com/ui/#object/sent_email__v/VBLZ025E82GNOCI", "SE-000273421")</f>
        <v>SE-000273421</v>
      </c>
      <c r="D1777" s="4" t="s">
        <v>11</v>
      </c>
      <c r="E1777" s="5">
        <v>0</v>
      </c>
      <c r="F1777" s="5">
        <v>0</v>
      </c>
      <c r="G1777" s="5">
        <v>0</v>
      </c>
      <c r="H1777" s="4" t="s">
        <v>11</v>
      </c>
      <c r="I1777" s="5">
        <v>0</v>
      </c>
      <c r="J1777" s="4">
        <v>45916.29451388889</v>
      </c>
    </row>
    <row r="1778" spans="1:10" x14ac:dyDescent="0.2">
      <c r="A1778" s="2" t="s">
        <v>10</v>
      </c>
      <c r="B1778" s="3" t="str">
        <f t="shared" si="37"/>
        <v>France - HCP Survey Email - June 2025</v>
      </c>
      <c r="C1778" s="3" t="str">
        <f>HYPERLINK("https://otsuka-europe-crm.veevavault.com/ui/#object/sent_email__v/VBLZ025E82GNOCJ", "SE-000273422")</f>
        <v>SE-000273422</v>
      </c>
      <c r="D1778" s="4" t="s">
        <v>11</v>
      </c>
      <c r="E1778" s="5">
        <v>0</v>
      </c>
      <c r="F1778" s="5">
        <v>0</v>
      </c>
      <c r="G1778" s="5">
        <v>0</v>
      </c>
      <c r="H1778" s="4" t="s">
        <v>11</v>
      </c>
      <c r="I1778" s="5">
        <v>0</v>
      </c>
      <c r="J1778" s="4">
        <v>45916.294317129628</v>
      </c>
    </row>
    <row r="1779" spans="1:10" x14ac:dyDescent="0.2">
      <c r="A1779" s="2" t="s">
        <v>10</v>
      </c>
      <c r="B1779" s="3" t="str">
        <f t="shared" si="37"/>
        <v>France - HCP Survey Email - June 2025</v>
      </c>
      <c r="C1779" s="3" t="str">
        <f>HYPERLINK("https://otsuka-europe-crm.veevavault.com/ui/#object/sent_email__v/VBLZ025E82GNOCK", "SE-000273423")</f>
        <v>SE-000273423</v>
      </c>
      <c r="D1779" s="4" t="s">
        <v>11</v>
      </c>
      <c r="E1779" s="5">
        <v>0</v>
      </c>
      <c r="F1779" s="5">
        <v>0</v>
      </c>
      <c r="G1779" s="5">
        <v>0</v>
      </c>
      <c r="H1779" s="4" t="s">
        <v>11</v>
      </c>
      <c r="I1779" s="5">
        <v>0</v>
      </c>
      <c r="J1779" s="4">
        <v>45916.294930555552</v>
      </c>
    </row>
    <row r="1780" spans="1:10" x14ac:dyDescent="0.2">
      <c r="A1780" s="2" t="s">
        <v>10</v>
      </c>
      <c r="B1780" s="3" t="str">
        <f t="shared" si="37"/>
        <v>France - HCP Survey Email - June 2025</v>
      </c>
      <c r="C1780" s="3" t="str">
        <f>HYPERLINK("https://otsuka-europe-crm.veevavault.com/ui/#object/sent_email__v/VBLZ025E82GNOFD", "SE-000273424")</f>
        <v>SE-000273424</v>
      </c>
      <c r="D1780" s="4" t="s">
        <v>11</v>
      </c>
      <c r="E1780" s="5">
        <v>0</v>
      </c>
      <c r="F1780" s="5">
        <v>0</v>
      </c>
      <c r="G1780" s="5">
        <v>0</v>
      </c>
      <c r="H1780" s="4" t="s">
        <v>11</v>
      </c>
      <c r="I1780" s="5">
        <v>0</v>
      </c>
      <c r="J1780" s="4">
        <v>45916.294907407406</v>
      </c>
    </row>
    <row r="1781" spans="1:10" x14ac:dyDescent="0.2">
      <c r="A1781" s="2" t="s">
        <v>10</v>
      </c>
      <c r="B1781" s="3" t="str">
        <f t="shared" si="37"/>
        <v>France - HCP Survey Email - June 2025</v>
      </c>
      <c r="C1781" s="3" t="str">
        <f>HYPERLINK("https://otsuka-europe-crm.veevavault.com/ui/#object/sent_email__v/VBLZ025E82GNOFE", "SE-000273425")</f>
        <v>SE-000273425</v>
      </c>
      <c r="D1781" s="4">
        <v>45934.566342592596</v>
      </c>
      <c r="E1781" s="5">
        <v>1</v>
      </c>
      <c r="F1781" s="5">
        <v>2</v>
      </c>
      <c r="G1781" s="5">
        <v>0</v>
      </c>
      <c r="H1781" s="4" t="s">
        <v>11</v>
      </c>
      <c r="I1781" s="5">
        <v>0</v>
      </c>
      <c r="J1781" s="4">
        <v>45916.294687499998</v>
      </c>
    </row>
    <row r="1782" spans="1:10" x14ac:dyDescent="0.2">
      <c r="A1782" s="2" t="s">
        <v>10</v>
      </c>
      <c r="B1782" s="3" t="str">
        <f t="shared" si="37"/>
        <v>France - HCP Survey Email - June 2025</v>
      </c>
      <c r="C1782" s="3" t="str">
        <f>HYPERLINK("https://otsuka-europe-crm.veevavault.com/ui/#object/sent_email__v/VBLZ025E82GNOFF", "SE-000273426")</f>
        <v>SE-000273426</v>
      </c>
      <c r="D1782" s="4" t="s">
        <v>11</v>
      </c>
      <c r="E1782" s="5">
        <v>0</v>
      </c>
      <c r="F1782" s="5">
        <v>0</v>
      </c>
      <c r="G1782" s="5">
        <v>0</v>
      </c>
      <c r="H1782" s="4" t="s">
        <v>11</v>
      </c>
      <c r="I1782" s="5">
        <v>0</v>
      </c>
      <c r="J1782" s="4">
        <v>45916.29446759259</v>
      </c>
    </row>
    <row r="1783" spans="1:10" x14ac:dyDescent="0.2">
      <c r="A1783" s="2" t="s">
        <v>10</v>
      </c>
      <c r="B1783" s="3" t="str">
        <f t="shared" si="37"/>
        <v>France - HCP Survey Email - June 2025</v>
      </c>
      <c r="C1783" s="3" t="str">
        <f>HYPERLINK("https://otsuka-europe-crm.veevavault.com/ui/#object/sent_email__v/VBLZ025E82GNOFG", "SE-000273427")</f>
        <v>SE-000273427</v>
      </c>
      <c r="D1783" s="4">
        <v>45918.800416666665</v>
      </c>
      <c r="E1783" s="5">
        <v>1</v>
      </c>
      <c r="F1783" s="5">
        <v>2</v>
      </c>
      <c r="G1783" s="5">
        <v>1</v>
      </c>
      <c r="H1783" s="4">
        <v>45916.327372685184</v>
      </c>
      <c r="I1783" s="5">
        <v>1</v>
      </c>
      <c r="J1783" s="4">
        <v>45916.294247685182</v>
      </c>
    </row>
    <row r="1784" spans="1:10" x14ac:dyDescent="0.2">
      <c r="A1784" s="2" t="s">
        <v>10</v>
      </c>
      <c r="B1784" s="3" t="str">
        <f t="shared" si="37"/>
        <v>France - HCP Survey Email - June 2025</v>
      </c>
      <c r="C1784" s="3" t="str">
        <f>HYPERLINK("https://otsuka-europe-crm.veevavault.com/ui/#object/sent_email__v/VBLZ025E82GNOFH", "SE-000273428")</f>
        <v>SE-000273428</v>
      </c>
      <c r="D1784" s="4" t="s">
        <v>11</v>
      </c>
      <c r="E1784" s="5">
        <v>0</v>
      </c>
      <c r="F1784" s="5">
        <v>0</v>
      </c>
      <c r="G1784" s="5">
        <v>0</v>
      </c>
      <c r="H1784" s="4" t="s">
        <v>11</v>
      </c>
      <c r="I1784" s="5">
        <v>0</v>
      </c>
      <c r="J1784" s="4">
        <v>45916.294988425929</v>
      </c>
    </row>
    <row r="1785" spans="1:10" x14ac:dyDescent="0.2">
      <c r="A1785" s="2" t="s">
        <v>10</v>
      </c>
      <c r="B1785" s="3" t="str">
        <f t="shared" si="37"/>
        <v>France - HCP Survey Email - June 2025</v>
      </c>
      <c r="C1785" s="3" t="str">
        <f>HYPERLINK("https://otsuka-europe-crm.veevavault.com/ui/#object/sent_email__v/VBLZ025E82GNOFI", "SE-000273429")</f>
        <v>SE-000273429</v>
      </c>
      <c r="D1785" s="4" t="s">
        <v>11</v>
      </c>
      <c r="E1785" s="5">
        <v>0</v>
      </c>
      <c r="F1785" s="5">
        <v>0</v>
      </c>
      <c r="G1785" s="5">
        <v>0</v>
      </c>
      <c r="H1785" s="4" t="s">
        <v>11</v>
      </c>
      <c r="I1785" s="5">
        <v>0</v>
      </c>
      <c r="J1785" s="4">
        <v>45916.294687499998</v>
      </c>
    </row>
    <row r="1786" spans="1:10" x14ac:dyDescent="0.2">
      <c r="A1786" s="2" t="s">
        <v>10</v>
      </c>
      <c r="B1786" s="3" t="str">
        <f t="shared" si="37"/>
        <v>France - HCP Survey Email - June 2025</v>
      </c>
      <c r="C1786" s="3" t="str">
        <f>HYPERLINK("https://otsuka-europe-crm.veevavault.com/ui/#object/sent_email__v/VBLZ025E82GNOFJ", "SE-000273430")</f>
        <v>SE-000273430</v>
      </c>
      <c r="D1786" s="4">
        <v>45938.362604166665</v>
      </c>
      <c r="E1786" s="5">
        <v>1</v>
      </c>
      <c r="F1786" s="5">
        <v>1</v>
      </c>
      <c r="G1786" s="5">
        <v>0</v>
      </c>
      <c r="H1786" s="4" t="s">
        <v>11</v>
      </c>
      <c r="I1786" s="5">
        <v>0</v>
      </c>
      <c r="J1786" s="4">
        <v>45916.294351851851</v>
      </c>
    </row>
    <row r="1787" spans="1:10" x14ac:dyDescent="0.2">
      <c r="A1787" s="2" t="s">
        <v>10</v>
      </c>
      <c r="B1787" s="3" t="str">
        <f t="shared" si="37"/>
        <v>France - HCP Survey Email - June 2025</v>
      </c>
      <c r="C1787" s="3" t="str">
        <f>HYPERLINK("https://otsuka-europe-crm.veevavault.com/ui/#object/sent_email__v/VBLZ025E82GNOFK", "SE-000273431")</f>
        <v>SE-000273431</v>
      </c>
      <c r="D1787" s="4" t="s">
        <v>11</v>
      </c>
      <c r="E1787" s="5">
        <v>0</v>
      </c>
      <c r="F1787" s="5">
        <v>0</v>
      </c>
      <c r="G1787" s="5">
        <v>0</v>
      </c>
      <c r="H1787" s="4" t="s">
        <v>11</v>
      </c>
      <c r="I1787" s="5">
        <v>0</v>
      </c>
      <c r="J1787" s="4">
        <v>45916.294953703706</v>
      </c>
    </row>
    <row r="1788" spans="1:10" x14ac:dyDescent="0.2">
      <c r="A1788" s="2" t="s">
        <v>10</v>
      </c>
      <c r="B1788" s="3" t="str">
        <f t="shared" si="37"/>
        <v>France - HCP Survey Email - June 2025</v>
      </c>
      <c r="C1788" s="3" t="str">
        <f>HYPERLINK("https://otsuka-europe-crm.veevavault.com/ui/#object/sent_email__v/VBLZ025E82GNOFL", "SE-000273432")</f>
        <v>SE-000273432</v>
      </c>
      <c r="D1788" s="4" t="s">
        <v>11</v>
      </c>
      <c r="E1788" s="5">
        <v>0</v>
      </c>
      <c r="F1788" s="5">
        <v>0</v>
      </c>
      <c r="G1788" s="5">
        <v>0</v>
      </c>
      <c r="H1788" s="4" t="s">
        <v>11</v>
      </c>
      <c r="I1788" s="5">
        <v>0</v>
      </c>
      <c r="J1788" s="4">
        <v>45916.294733796298</v>
      </c>
    </row>
    <row r="1789" spans="1:10" x14ac:dyDescent="0.2">
      <c r="A1789" s="2" t="s">
        <v>10</v>
      </c>
      <c r="B1789" s="3" t="str">
        <f t="shared" si="37"/>
        <v>France - HCP Survey Email - June 2025</v>
      </c>
      <c r="C1789" s="3" t="str">
        <f>HYPERLINK("https://otsuka-europe-crm.veevavault.com/ui/#object/sent_email__v/VBLZ025E82GNOFM", "SE-000273433")</f>
        <v>SE-000273433</v>
      </c>
      <c r="D1789" s="4" t="s">
        <v>11</v>
      </c>
      <c r="E1789" s="5">
        <v>0</v>
      </c>
      <c r="F1789" s="5">
        <v>0</v>
      </c>
      <c r="G1789" s="5">
        <v>0</v>
      </c>
      <c r="H1789" s="4" t="s">
        <v>11</v>
      </c>
      <c r="I1789" s="5">
        <v>0</v>
      </c>
      <c r="J1789" s="4">
        <v>45916.294525462959</v>
      </c>
    </row>
    <row r="1790" spans="1:10" x14ac:dyDescent="0.2">
      <c r="A1790" s="2" t="s">
        <v>10</v>
      </c>
      <c r="B1790" s="3" t="str">
        <f t="shared" si="37"/>
        <v>France - HCP Survey Email - June 2025</v>
      </c>
      <c r="C1790" s="3" t="str">
        <f>HYPERLINK("https://otsuka-europe-crm.veevavault.com/ui/#object/sent_email__v/VBLZ025E82GNOFN", "SE-000273434")</f>
        <v>SE-000273434</v>
      </c>
      <c r="D1790" s="4" t="s">
        <v>11</v>
      </c>
      <c r="E1790" s="5">
        <v>0</v>
      </c>
      <c r="F1790" s="5">
        <v>0</v>
      </c>
      <c r="G1790" s="5">
        <v>0</v>
      </c>
      <c r="H1790" s="4" t="s">
        <v>11</v>
      </c>
      <c r="I1790" s="5">
        <v>0</v>
      </c>
      <c r="J1790" s="4">
        <v>45916.294293981482</v>
      </c>
    </row>
    <row r="1791" spans="1:10" x14ac:dyDescent="0.2">
      <c r="A1791" s="2" t="s">
        <v>10</v>
      </c>
      <c r="B1791" s="3" t="str">
        <f t="shared" si="37"/>
        <v>France - HCP Survey Email - June 2025</v>
      </c>
      <c r="C1791" s="3" t="str">
        <f>HYPERLINK("https://otsuka-europe-crm.veevavault.com/ui/#object/sent_email__v/VBLZ025E82GNOFO", "SE-000273435")</f>
        <v>SE-000273435</v>
      </c>
      <c r="D1791" s="4" t="s">
        <v>11</v>
      </c>
      <c r="E1791" s="5">
        <v>0</v>
      </c>
      <c r="F1791" s="5">
        <v>0</v>
      </c>
      <c r="G1791" s="5">
        <v>0</v>
      </c>
      <c r="H1791" s="4" t="s">
        <v>11</v>
      </c>
      <c r="I1791" s="5">
        <v>0</v>
      </c>
      <c r="J1791" s="4">
        <v>45916.294803240744</v>
      </c>
    </row>
    <row r="1792" spans="1:10" x14ac:dyDescent="0.2">
      <c r="A1792" s="2" t="s">
        <v>10</v>
      </c>
      <c r="B1792" s="3" t="str">
        <f t="shared" si="37"/>
        <v>France - HCP Survey Email - June 2025</v>
      </c>
      <c r="C1792" s="3" t="str">
        <f>HYPERLINK("https://otsuka-europe-crm.veevavault.com/ui/#object/sent_email__v/VBLZ025E82GNOFP", "SE-000273436")</f>
        <v>SE-000273436</v>
      </c>
      <c r="D1792" s="4">
        <v>45916.302905092591</v>
      </c>
      <c r="E1792" s="5">
        <v>1</v>
      </c>
      <c r="F1792" s="5">
        <v>1</v>
      </c>
      <c r="G1792" s="5">
        <v>0</v>
      </c>
      <c r="H1792" s="4" t="s">
        <v>11</v>
      </c>
      <c r="I1792" s="5">
        <v>0</v>
      </c>
      <c r="J1792" s="4">
        <v>45916.294629629629</v>
      </c>
    </row>
    <row r="1793" spans="1:10" x14ac:dyDescent="0.2">
      <c r="A1793" s="2" t="s">
        <v>10</v>
      </c>
      <c r="B1793" s="3" t="str">
        <f t="shared" ref="B1793:B1856" si="38">HYPERLINK("https://otsuka-europe-crm.veevavault.com/ui/#object/approved_document__v/V5OZ025E82TMV97", "France - HCP Survey Email - June 2025")</f>
        <v>France - HCP Survey Email - June 2025</v>
      </c>
      <c r="C1793" s="3" t="str">
        <f>HYPERLINK("https://otsuka-europe-crm.veevavault.com/ui/#object/sent_email__v/VBLZ025E82GNOFQ", "SE-000273437")</f>
        <v>SE-000273437</v>
      </c>
      <c r="D1793" s="4" t="s">
        <v>11</v>
      </c>
      <c r="E1793" s="5">
        <v>0</v>
      </c>
      <c r="F1793" s="5">
        <v>0</v>
      </c>
      <c r="G1793" s="5">
        <v>0</v>
      </c>
      <c r="H1793" s="4" t="s">
        <v>11</v>
      </c>
      <c r="I1793" s="5">
        <v>0</v>
      </c>
      <c r="J1793" s="4">
        <v>45916.294699074075</v>
      </c>
    </row>
    <row r="1794" spans="1:10" x14ac:dyDescent="0.2">
      <c r="A1794" s="2" t="s">
        <v>10</v>
      </c>
      <c r="B1794" s="3" t="str">
        <f t="shared" si="38"/>
        <v>France - HCP Survey Email - June 2025</v>
      </c>
      <c r="C1794" s="3" t="str">
        <f>HYPERLINK("https://otsuka-europe-crm.veevavault.com/ui/#object/sent_email__v/VBLZ025E82GNOFR", "SE-000273438")</f>
        <v>SE-000273438</v>
      </c>
      <c r="D1794" s="4" t="s">
        <v>11</v>
      </c>
      <c r="E1794" s="5">
        <v>0</v>
      </c>
      <c r="F1794" s="5">
        <v>0</v>
      </c>
      <c r="G1794" s="5">
        <v>0</v>
      </c>
      <c r="H1794" s="4" t="s">
        <v>11</v>
      </c>
      <c r="I1794" s="5">
        <v>0</v>
      </c>
      <c r="J1794" s="4">
        <v>45916.294537037036</v>
      </c>
    </row>
    <row r="1795" spans="1:10" x14ac:dyDescent="0.2">
      <c r="A1795" s="2" t="s">
        <v>10</v>
      </c>
      <c r="B1795" s="3" t="str">
        <f t="shared" si="38"/>
        <v>France - HCP Survey Email - June 2025</v>
      </c>
      <c r="C1795" s="3" t="str">
        <f>HYPERLINK("https://otsuka-europe-crm.veevavault.com/ui/#object/sent_email__v/VBLZ025E82GNOFS", "SE-000273439")</f>
        <v>SE-000273439</v>
      </c>
      <c r="D1795" s="4">
        <v>45917.675798611112</v>
      </c>
      <c r="E1795" s="5">
        <v>1</v>
      </c>
      <c r="F1795" s="5">
        <v>1</v>
      </c>
      <c r="G1795" s="5">
        <v>1</v>
      </c>
      <c r="H1795" s="4">
        <v>45917.676249999997</v>
      </c>
      <c r="I1795" s="5">
        <v>1</v>
      </c>
      <c r="J1795" s="4">
        <v>45916.294293981482</v>
      </c>
    </row>
    <row r="1796" spans="1:10" x14ac:dyDescent="0.2">
      <c r="A1796" s="2" t="s">
        <v>10</v>
      </c>
      <c r="B1796" s="3" t="str">
        <f t="shared" si="38"/>
        <v>France - HCP Survey Email - June 2025</v>
      </c>
      <c r="C1796" s="3" t="str">
        <f>HYPERLINK("https://otsuka-europe-crm.veevavault.com/ui/#object/sent_email__v/VBLZ025E82GNOFT", "SE-000273440")</f>
        <v>SE-000273440</v>
      </c>
      <c r="D1796" s="4" t="s">
        <v>11</v>
      </c>
      <c r="E1796" s="5">
        <v>0</v>
      </c>
      <c r="F1796" s="5">
        <v>0</v>
      </c>
      <c r="G1796" s="5">
        <v>0</v>
      </c>
      <c r="H1796" s="4" t="s">
        <v>11</v>
      </c>
      <c r="I1796" s="5">
        <v>0</v>
      </c>
      <c r="J1796" s="4">
        <v>45916.29482638889</v>
      </c>
    </row>
    <row r="1797" spans="1:10" x14ac:dyDescent="0.2">
      <c r="A1797" s="2" t="s">
        <v>10</v>
      </c>
      <c r="B1797" s="3" t="str">
        <f t="shared" si="38"/>
        <v>France - HCP Survey Email - June 2025</v>
      </c>
      <c r="C1797" s="3" t="str">
        <f>HYPERLINK("https://otsuka-europe-crm.veevavault.com/ui/#object/sent_email__v/VBLZ025E82GNOFV", "SE-000273442")</f>
        <v>SE-000273442</v>
      </c>
      <c r="D1797" s="4" t="s">
        <v>11</v>
      </c>
      <c r="E1797" s="5">
        <v>0</v>
      </c>
      <c r="F1797" s="5">
        <v>0</v>
      </c>
      <c r="G1797" s="5">
        <v>0</v>
      </c>
      <c r="H1797" s="4" t="s">
        <v>11</v>
      </c>
      <c r="I1797" s="5">
        <v>0</v>
      </c>
      <c r="J1797" s="4">
        <v>45916.294398148151</v>
      </c>
    </row>
    <row r="1798" spans="1:10" x14ac:dyDescent="0.2">
      <c r="A1798" s="2" t="s">
        <v>10</v>
      </c>
      <c r="B1798" s="3" t="str">
        <f t="shared" si="38"/>
        <v>France - HCP Survey Email - June 2025</v>
      </c>
      <c r="C1798" s="3" t="str">
        <f>HYPERLINK("https://otsuka-europe-crm.veevavault.com/ui/#object/sent_email__v/VBLZ025E82GNOFX", "SE-000273444")</f>
        <v>SE-000273444</v>
      </c>
      <c r="D1798" s="4" t="s">
        <v>11</v>
      </c>
      <c r="E1798" s="5">
        <v>0</v>
      </c>
      <c r="F1798" s="5">
        <v>0</v>
      </c>
      <c r="G1798" s="5">
        <v>0</v>
      </c>
      <c r="H1798" s="4" t="s">
        <v>11</v>
      </c>
      <c r="I1798" s="5">
        <v>0</v>
      </c>
      <c r="J1798" s="4">
        <v>45916.29482638889</v>
      </c>
    </row>
    <row r="1799" spans="1:10" x14ac:dyDescent="0.2">
      <c r="A1799" s="2" t="s">
        <v>10</v>
      </c>
      <c r="B1799" s="3" t="str">
        <f t="shared" si="38"/>
        <v>France - HCP Survey Email - June 2025</v>
      </c>
      <c r="C1799" s="3" t="str">
        <f>HYPERLINK("https://otsuka-europe-crm.veevavault.com/ui/#object/sent_email__v/VBLZ025E82GNOFY", "SE-000273445")</f>
        <v>SE-000273445</v>
      </c>
      <c r="D1799" s="4" t="s">
        <v>11</v>
      </c>
      <c r="E1799" s="5">
        <v>0</v>
      </c>
      <c r="F1799" s="5">
        <v>0</v>
      </c>
      <c r="G1799" s="5">
        <v>0</v>
      </c>
      <c r="H1799" s="4" t="s">
        <v>11</v>
      </c>
      <c r="I1799" s="5">
        <v>0</v>
      </c>
      <c r="J1799" s="4">
        <v>45916.294571759259</v>
      </c>
    </row>
    <row r="1800" spans="1:10" x14ac:dyDescent="0.2">
      <c r="A1800" s="2" t="s">
        <v>10</v>
      </c>
      <c r="B1800" s="3" t="str">
        <f t="shared" si="38"/>
        <v>France - HCP Survey Email - June 2025</v>
      </c>
      <c r="C1800" s="3" t="str">
        <f>HYPERLINK("https://otsuka-europe-crm.veevavault.com/ui/#object/sent_email__v/VBLZ025E82GNOFZ", "SE-000273446")</f>
        <v>SE-000273446</v>
      </c>
      <c r="D1800" s="4" t="s">
        <v>11</v>
      </c>
      <c r="E1800" s="5">
        <v>0</v>
      </c>
      <c r="F1800" s="5">
        <v>0</v>
      </c>
      <c r="G1800" s="5">
        <v>0</v>
      </c>
      <c r="H1800" s="4" t="s">
        <v>11</v>
      </c>
      <c r="I1800" s="5">
        <v>0</v>
      </c>
      <c r="J1800" s="4">
        <v>45916.294363425928</v>
      </c>
    </row>
    <row r="1801" spans="1:10" x14ac:dyDescent="0.2">
      <c r="A1801" s="2" t="s">
        <v>10</v>
      </c>
      <c r="B1801" s="3" t="str">
        <f t="shared" si="38"/>
        <v>France - HCP Survey Email - June 2025</v>
      </c>
      <c r="C1801" s="3" t="str">
        <f>HYPERLINK("https://otsuka-europe-crm.veevavault.com/ui/#object/sent_email__v/VBLZ025E82GNOG0", "SE-000273447")</f>
        <v>SE-000273447</v>
      </c>
      <c r="D1801" s="4" t="s">
        <v>11</v>
      </c>
      <c r="E1801" s="5">
        <v>0</v>
      </c>
      <c r="F1801" s="5">
        <v>0</v>
      </c>
      <c r="G1801" s="5">
        <v>0</v>
      </c>
      <c r="H1801" s="4" t="s">
        <v>11</v>
      </c>
      <c r="I1801" s="5">
        <v>0</v>
      </c>
      <c r="J1801" s="4">
        <v>45916.294965277775</v>
      </c>
    </row>
    <row r="1802" spans="1:10" x14ac:dyDescent="0.2">
      <c r="A1802" s="2" t="s">
        <v>10</v>
      </c>
      <c r="B1802" s="3" t="str">
        <f t="shared" si="38"/>
        <v>France - HCP Survey Email - June 2025</v>
      </c>
      <c r="C1802" s="3" t="str">
        <f>HYPERLINK("https://otsuka-europe-crm.veevavault.com/ui/#object/sent_email__v/VBLZ025E82GNOG1", "SE-000273448")</f>
        <v>SE-000273448</v>
      </c>
      <c r="D1802" s="4" t="s">
        <v>11</v>
      </c>
      <c r="E1802" s="5">
        <v>0</v>
      </c>
      <c r="F1802" s="5">
        <v>0</v>
      </c>
      <c r="G1802" s="5">
        <v>0</v>
      </c>
      <c r="H1802" s="4" t="s">
        <v>11</v>
      </c>
      <c r="I1802" s="5">
        <v>0</v>
      </c>
      <c r="J1802" s="4">
        <v>45916.294745370367</v>
      </c>
    </row>
    <row r="1803" spans="1:10" x14ac:dyDescent="0.2">
      <c r="A1803" s="2" t="s">
        <v>10</v>
      </c>
      <c r="B1803" s="3" t="str">
        <f t="shared" si="38"/>
        <v>France - HCP Survey Email - June 2025</v>
      </c>
      <c r="C1803" s="3" t="str">
        <f>HYPERLINK("https://otsuka-europe-crm.veevavault.com/ui/#object/sent_email__v/VBLZ025E82GNOG2", "SE-000273449")</f>
        <v>SE-000273449</v>
      </c>
      <c r="D1803" s="4" t="s">
        <v>11</v>
      </c>
      <c r="E1803" s="5">
        <v>0</v>
      </c>
      <c r="F1803" s="5">
        <v>0</v>
      </c>
      <c r="G1803" s="5">
        <v>0</v>
      </c>
      <c r="H1803" s="4" t="s">
        <v>11</v>
      </c>
      <c r="I1803" s="5">
        <v>0</v>
      </c>
      <c r="J1803" s="4">
        <v>45916.294444444444</v>
      </c>
    </row>
    <row r="1804" spans="1:10" x14ac:dyDescent="0.2">
      <c r="A1804" s="2" t="s">
        <v>10</v>
      </c>
      <c r="B1804" s="3" t="str">
        <f t="shared" si="38"/>
        <v>France - HCP Survey Email - June 2025</v>
      </c>
      <c r="C1804" s="3" t="str">
        <f>HYPERLINK("https://otsuka-europe-crm.veevavault.com/ui/#object/sent_email__v/VBLZ025E82GNOG3", "SE-000273450")</f>
        <v>SE-000273450</v>
      </c>
      <c r="D1804" s="4" t="s">
        <v>11</v>
      </c>
      <c r="E1804" s="5">
        <v>0</v>
      </c>
      <c r="F1804" s="5">
        <v>0</v>
      </c>
      <c r="G1804" s="5">
        <v>0</v>
      </c>
      <c r="H1804" s="4" t="s">
        <v>11</v>
      </c>
      <c r="I1804" s="5">
        <v>0</v>
      </c>
      <c r="J1804" s="4">
        <v>45916.294293981482</v>
      </c>
    </row>
    <row r="1805" spans="1:10" x14ac:dyDescent="0.2">
      <c r="A1805" s="2" t="s">
        <v>10</v>
      </c>
      <c r="B1805" s="3" t="str">
        <f t="shared" si="38"/>
        <v>France - HCP Survey Email - June 2025</v>
      </c>
      <c r="C1805" s="3" t="str">
        <f>HYPERLINK("https://otsuka-europe-crm.veevavault.com/ui/#object/sent_email__v/VBLZ025E82GNOG4", "SE-000273451")</f>
        <v>SE-000273451</v>
      </c>
      <c r="D1805" s="4" t="s">
        <v>11</v>
      </c>
      <c r="E1805" s="5">
        <v>0</v>
      </c>
      <c r="F1805" s="5">
        <v>0</v>
      </c>
      <c r="G1805" s="5">
        <v>0</v>
      </c>
      <c r="H1805" s="4" t="s">
        <v>11</v>
      </c>
      <c r="I1805" s="5">
        <v>0</v>
      </c>
      <c r="J1805" s="4">
        <v>45916.294976851852</v>
      </c>
    </row>
    <row r="1806" spans="1:10" x14ac:dyDescent="0.2">
      <c r="A1806" s="2" t="s">
        <v>10</v>
      </c>
      <c r="B1806" s="3" t="str">
        <f t="shared" si="38"/>
        <v>France - HCP Survey Email - June 2025</v>
      </c>
      <c r="C1806" s="3" t="str">
        <f>HYPERLINK("https://otsuka-europe-crm.veevavault.com/ui/#object/sent_email__v/VBLZ025E82GNOG5", "SE-000273452")</f>
        <v>SE-000273452</v>
      </c>
      <c r="D1806" s="4" t="s">
        <v>11</v>
      </c>
      <c r="E1806" s="5">
        <v>0</v>
      </c>
      <c r="F1806" s="5">
        <v>0</v>
      </c>
      <c r="G1806" s="5">
        <v>0</v>
      </c>
      <c r="H1806" s="4" t="s">
        <v>11</v>
      </c>
      <c r="I1806" s="5">
        <v>0</v>
      </c>
      <c r="J1806" s="4">
        <v>45916.294641203705</v>
      </c>
    </row>
    <row r="1807" spans="1:10" x14ac:dyDescent="0.2">
      <c r="A1807" s="2" t="s">
        <v>10</v>
      </c>
      <c r="B1807" s="3" t="str">
        <f t="shared" si="38"/>
        <v>France - HCP Survey Email - June 2025</v>
      </c>
      <c r="C1807" s="3" t="str">
        <f>HYPERLINK("https://otsuka-europe-crm.veevavault.com/ui/#object/sent_email__v/VBLZ025E82GNOG6", "SE-000273453")</f>
        <v>SE-000273453</v>
      </c>
      <c r="D1807" s="4" t="s">
        <v>11</v>
      </c>
      <c r="E1807" s="5">
        <v>0</v>
      </c>
      <c r="F1807" s="5">
        <v>0</v>
      </c>
      <c r="G1807" s="5">
        <v>0</v>
      </c>
      <c r="H1807" s="4" t="s">
        <v>11</v>
      </c>
      <c r="I1807" s="5">
        <v>0</v>
      </c>
      <c r="J1807" s="4">
        <v>45916.294398148151</v>
      </c>
    </row>
    <row r="1808" spans="1:10" x14ac:dyDescent="0.2">
      <c r="A1808" s="2" t="s">
        <v>10</v>
      </c>
      <c r="B1808" s="3" t="str">
        <f t="shared" si="38"/>
        <v>France - HCP Survey Email - June 2025</v>
      </c>
      <c r="C1808" s="3" t="str">
        <f>HYPERLINK("https://otsuka-europe-crm.veevavault.com/ui/#object/sent_email__v/VBLZ025E82GNOG7", "SE-000273454")</f>
        <v>SE-000273454</v>
      </c>
      <c r="D1808" s="4">
        <v>45926.745995370373</v>
      </c>
      <c r="E1808" s="5">
        <v>1</v>
      </c>
      <c r="F1808" s="5">
        <v>4</v>
      </c>
      <c r="G1808" s="5">
        <v>0</v>
      </c>
      <c r="H1808" s="4" t="s">
        <v>11</v>
      </c>
      <c r="I1808" s="5">
        <v>0</v>
      </c>
      <c r="J1808" s="4">
        <v>45916.294189814813</v>
      </c>
    </row>
    <row r="1809" spans="1:10" x14ac:dyDescent="0.2">
      <c r="A1809" s="2" t="s">
        <v>10</v>
      </c>
      <c r="B1809" s="3" t="str">
        <f t="shared" si="38"/>
        <v>France - HCP Survey Email - June 2025</v>
      </c>
      <c r="C1809" s="3" t="str">
        <f>HYPERLINK("https://otsuka-europe-crm.veevavault.com/ui/#object/sent_email__v/VBLZ025E82GNOG8", "SE-000273455")</f>
        <v>SE-000273455</v>
      </c>
      <c r="D1809" s="4" t="s">
        <v>11</v>
      </c>
      <c r="E1809" s="5">
        <v>0</v>
      </c>
      <c r="F1809" s="5">
        <v>0</v>
      </c>
      <c r="G1809" s="5">
        <v>0</v>
      </c>
      <c r="H1809" s="4" t="s">
        <v>11</v>
      </c>
      <c r="I1809" s="5">
        <v>0</v>
      </c>
      <c r="J1809" s="4">
        <v>45916.294907407406</v>
      </c>
    </row>
    <row r="1810" spans="1:10" x14ac:dyDescent="0.2">
      <c r="A1810" s="2" t="s">
        <v>10</v>
      </c>
      <c r="B1810" s="3" t="str">
        <f t="shared" si="38"/>
        <v>France - HCP Survey Email - June 2025</v>
      </c>
      <c r="C1810" s="3" t="str">
        <f>HYPERLINK("https://otsuka-europe-crm.veevavault.com/ui/#object/sent_email__v/VBLZ025E82GNOG9", "SE-000273456")</f>
        <v>SE-000273456</v>
      </c>
      <c r="D1810" s="4" t="s">
        <v>11</v>
      </c>
      <c r="E1810" s="5">
        <v>0</v>
      </c>
      <c r="F1810" s="5">
        <v>0</v>
      </c>
      <c r="G1810" s="5">
        <v>0</v>
      </c>
      <c r="H1810" s="4" t="s">
        <v>11</v>
      </c>
      <c r="I1810" s="5">
        <v>0</v>
      </c>
      <c r="J1810" s="4">
        <v>45916.294560185182</v>
      </c>
    </row>
    <row r="1811" spans="1:10" x14ac:dyDescent="0.2">
      <c r="A1811" s="2" t="s">
        <v>10</v>
      </c>
      <c r="B1811" s="3" t="str">
        <f t="shared" si="38"/>
        <v>France - HCP Survey Email - June 2025</v>
      </c>
      <c r="C1811" s="3" t="str">
        <f>HYPERLINK("https://otsuka-europe-crm.veevavault.com/ui/#object/sent_email__v/VBLZ025E82GNOGA", "SE-000273457")</f>
        <v>SE-000273457</v>
      </c>
      <c r="D1811" s="4">
        <v>45916.370891203704</v>
      </c>
      <c r="E1811" s="5">
        <v>1</v>
      </c>
      <c r="F1811" s="5">
        <v>1</v>
      </c>
      <c r="G1811" s="5">
        <v>0</v>
      </c>
      <c r="H1811" s="4" t="s">
        <v>11</v>
      </c>
      <c r="I1811" s="5">
        <v>0</v>
      </c>
      <c r="J1811" s="4">
        <v>45916.294317129628</v>
      </c>
    </row>
    <row r="1812" spans="1:10" x14ac:dyDescent="0.2">
      <c r="A1812" s="2" t="s">
        <v>10</v>
      </c>
      <c r="B1812" s="3" t="str">
        <f t="shared" si="38"/>
        <v>France - HCP Survey Email - June 2025</v>
      </c>
      <c r="C1812" s="3" t="str">
        <f>HYPERLINK("https://otsuka-europe-crm.veevavault.com/ui/#object/sent_email__v/VBLZ025E82GNOGB", "SE-000273458")</f>
        <v>SE-000273458</v>
      </c>
      <c r="D1812" s="4">
        <v>45916.310254629629</v>
      </c>
      <c r="E1812" s="5">
        <v>1</v>
      </c>
      <c r="F1812" s="5">
        <v>1</v>
      </c>
      <c r="G1812" s="5">
        <v>0</v>
      </c>
      <c r="H1812" s="4" t="s">
        <v>11</v>
      </c>
      <c r="I1812" s="5">
        <v>0</v>
      </c>
      <c r="J1812" s="4">
        <v>45916.294999999998</v>
      </c>
    </row>
    <row r="1813" spans="1:10" x14ac:dyDescent="0.2">
      <c r="A1813" s="2" t="s">
        <v>10</v>
      </c>
      <c r="B1813" s="3" t="str">
        <f t="shared" si="38"/>
        <v>France - HCP Survey Email - June 2025</v>
      </c>
      <c r="C1813" s="3" t="str">
        <f>HYPERLINK("https://otsuka-europe-crm.veevavault.com/ui/#object/sent_email__v/VBLZ025E82GNOGC", "SE-000273459")</f>
        <v>SE-000273459</v>
      </c>
      <c r="D1813" s="4" t="s">
        <v>11</v>
      </c>
      <c r="E1813" s="5">
        <v>0</v>
      </c>
      <c r="F1813" s="5">
        <v>0</v>
      </c>
      <c r="G1813" s="5">
        <v>0</v>
      </c>
      <c r="H1813" s="4" t="s">
        <v>11</v>
      </c>
      <c r="I1813" s="5">
        <v>0</v>
      </c>
      <c r="J1813" s="4">
        <v>45916.294652777775</v>
      </c>
    </row>
    <row r="1814" spans="1:10" x14ac:dyDescent="0.2">
      <c r="A1814" s="2" t="s">
        <v>10</v>
      </c>
      <c r="B1814" s="3" t="str">
        <f t="shared" si="38"/>
        <v>France - HCP Survey Email - June 2025</v>
      </c>
      <c r="C1814" s="3" t="str">
        <f>HYPERLINK("https://otsuka-europe-crm.veevavault.com/ui/#object/sent_email__v/VBLZ025E82GNOGD", "SE-000273460")</f>
        <v>SE-000273460</v>
      </c>
      <c r="D1814" s="4" t="s">
        <v>11</v>
      </c>
      <c r="E1814" s="5">
        <v>0</v>
      </c>
      <c r="F1814" s="5">
        <v>0</v>
      </c>
      <c r="G1814" s="5">
        <v>0</v>
      </c>
      <c r="H1814" s="4" t="s">
        <v>11</v>
      </c>
      <c r="I1814" s="5">
        <v>0</v>
      </c>
      <c r="J1814" s="4">
        <v>45916.294641203705</v>
      </c>
    </row>
    <row r="1815" spans="1:10" x14ac:dyDescent="0.2">
      <c r="A1815" s="2" t="s">
        <v>10</v>
      </c>
      <c r="B1815" s="3" t="str">
        <f t="shared" si="38"/>
        <v>France - HCP Survey Email - June 2025</v>
      </c>
      <c r="C1815" s="3" t="str">
        <f>HYPERLINK("https://otsuka-europe-crm.veevavault.com/ui/#object/sent_email__v/VBLZ025E82GNOGE", "SE-000273461")</f>
        <v>SE-000273461</v>
      </c>
      <c r="D1815" s="4" t="s">
        <v>11</v>
      </c>
      <c r="E1815" s="5">
        <v>0</v>
      </c>
      <c r="F1815" s="5">
        <v>0</v>
      </c>
      <c r="G1815" s="5">
        <v>0</v>
      </c>
      <c r="H1815" s="4" t="s">
        <v>11</v>
      </c>
      <c r="I1815" s="5">
        <v>0</v>
      </c>
      <c r="J1815" s="4">
        <v>45916.294270833336</v>
      </c>
    </row>
    <row r="1816" spans="1:10" x14ac:dyDescent="0.2">
      <c r="A1816" s="2" t="s">
        <v>10</v>
      </c>
      <c r="B1816" s="3" t="str">
        <f t="shared" si="38"/>
        <v>France - HCP Survey Email - June 2025</v>
      </c>
      <c r="C1816" s="3" t="str">
        <f>HYPERLINK("https://otsuka-europe-crm.veevavault.com/ui/#object/sent_email__v/VBLZ025E82GNOGF", "SE-000273462")</f>
        <v>SE-000273462</v>
      </c>
      <c r="D1816" s="4" t="s">
        <v>11</v>
      </c>
      <c r="E1816" s="5">
        <v>0</v>
      </c>
      <c r="F1816" s="5">
        <v>0</v>
      </c>
      <c r="G1816" s="5">
        <v>0</v>
      </c>
      <c r="H1816" s="4" t="s">
        <v>11</v>
      </c>
      <c r="I1816" s="5">
        <v>0</v>
      </c>
      <c r="J1816" s="4">
        <v>45916.294907407406</v>
      </c>
    </row>
    <row r="1817" spans="1:10" x14ac:dyDescent="0.2">
      <c r="A1817" s="2" t="s">
        <v>10</v>
      </c>
      <c r="B1817" s="3" t="str">
        <f t="shared" si="38"/>
        <v>France - HCP Survey Email - June 2025</v>
      </c>
      <c r="C1817" s="3" t="str">
        <f>HYPERLINK("https://otsuka-europe-crm.veevavault.com/ui/#object/sent_email__v/VBLZ025E82GNOGH", "SE-000273464")</f>
        <v>SE-000273464</v>
      </c>
      <c r="D1817" s="4" t="s">
        <v>11</v>
      </c>
      <c r="E1817" s="5">
        <v>0</v>
      </c>
      <c r="F1817" s="5">
        <v>0</v>
      </c>
      <c r="G1817" s="5">
        <v>0</v>
      </c>
      <c r="H1817" s="4" t="s">
        <v>11</v>
      </c>
      <c r="I1817" s="5">
        <v>0</v>
      </c>
      <c r="J1817" s="4">
        <v>45916.294432870367</v>
      </c>
    </row>
    <row r="1818" spans="1:10" x14ac:dyDescent="0.2">
      <c r="A1818" s="2" t="s">
        <v>10</v>
      </c>
      <c r="B1818" s="3" t="str">
        <f t="shared" si="38"/>
        <v>France - HCP Survey Email - June 2025</v>
      </c>
      <c r="C1818" s="3" t="str">
        <f>HYPERLINK("https://otsuka-europe-crm.veevavault.com/ui/#object/sent_email__v/VBLZ025E82GNOGI", "SE-000273465")</f>
        <v>SE-000273465</v>
      </c>
      <c r="D1818" s="4" t="s">
        <v>11</v>
      </c>
      <c r="E1818" s="5">
        <v>0</v>
      </c>
      <c r="F1818" s="5">
        <v>0</v>
      </c>
      <c r="G1818" s="5">
        <v>0</v>
      </c>
      <c r="H1818" s="4" t="s">
        <v>11</v>
      </c>
      <c r="I1818" s="5">
        <v>0</v>
      </c>
      <c r="J1818" s="4">
        <v>45916.294259259259</v>
      </c>
    </row>
    <row r="1819" spans="1:10" x14ac:dyDescent="0.2">
      <c r="A1819" s="2" t="s">
        <v>10</v>
      </c>
      <c r="B1819" s="3" t="str">
        <f t="shared" si="38"/>
        <v>France - HCP Survey Email - June 2025</v>
      </c>
      <c r="C1819" s="3" t="str">
        <f>HYPERLINK("https://otsuka-europe-crm.veevavault.com/ui/#object/sent_email__v/VBLZ025E82GNOGJ", "SE-000273466")</f>
        <v>SE-000273466</v>
      </c>
      <c r="D1819" s="4" t="s">
        <v>11</v>
      </c>
      <c r="E1819" s="5">
        <v>0</v>
      </c>
      <c r="F1819" s="5">
        <v>0</v>
      </c>
      <c r="G1819" s="5">
        <v>0</v>
      </c>
      <c r="H1819" s="4" t="s">
        <v>11</v>
      </c>
      <c r="I1819" s="5">
        <v>0</v>
      </c>
      <c r="J1819" s="4">
        <v>45916.294861111113</v>
      </c>
    </row>
    <row r="1820" spans="1:10" x14ac:dyDescent="0.2">
      <c r="A1820" s="2" t="s">
        <v>10</v>
      </c>
      <c r="B1820" s="3" t="str">
        <f t="shared" si="38"/>
        <v>France - HCP Survey Email - June 2025</v>
      </c>
      <c r="C1820" s="3" t="str">
        <f>HYPERLINK("https://otsuka-europe-crm.veevavault.com/ui/#object/sent_email__v/VBLZ025E82GNOGK", "SE-000273467")</f>
        <v>SE-000273467</v>
      </c>
      <c r="D1820" s="4" t="s">
        <v>11</v>
      </c>
      <c r="E1820" s="5">
        <v>0</v>
      </c>
      <c r="F1820" s="5">
        <v>0</v>
      </c>
      <c r="G1820" s="5">
        <v>0</v>
      </c>
      <c r="H1820" s="4" t="s">
        <v>11</v>
      </c>
      <c r="I1820" s="5">
        <v>0</v>
      </c>
      <c r="J1820" s="4">
        <v>45916.294560185182</v>
      </c>
    </row>
    <row r="1821" spans="1:10" x14ac:dyDescent="0.2">
      <c r="A1821" s="2" t="s">
        <v>10</v>
      </c>
      <c r="B1821" s="3" t="str">
        <f t="shared" si="38"/>
        <v>France - HCP Survey Email - June 2025</v>
      </c>
      <c r="C1821" s="3" t="str">
        <f>HYPERLINK("https://otsuka-europe-crm.veevavault.com/ui/#object/sent_email__v/VBLZ025E82GNOGL", "SE-000273468")</f>
        <v>SE-000273468</v>
      </c>
      <c r="D1821" s="4" t="s">
        <v>11</v>
      </c>
      <c r="E1821" s="5">
        <v>0</v>
      </c>
      <c r="F1821" s="5">
        <v>0</v>
      </c>
      <c r="G1821" s="5">
        <v>0</v>
      </c>
      <c r="H1821" s="4" t="s">
        <v>11</v>
      </c>
      <c r="I1821" s="5">
        <v>0</v>
      </c>
      <c r="J1821" s="4">
        <v>45916.294270833336</v>
      </c>
    </row>
    <row r="1822" spans="1:10" x14ac:dyDescent="0.2">
      <c r="A1822" s="2" t="s">
        <v>10</v>
      </c>
      <c r="B1822" s="3" t="str">
        <f t="shared" si="38"/>
        <v>France - HCP Survey Email - June 2025</v>
      </c>
      <c r="C1822" s="3" t="str">
        <f>HYPERLINK("https://otsuka-europe-crm.veevavault.com/ui/#object/sent_email__v/VBLZ025E82GNOGM", "SE-000273469")</f>
        <v>SE-000273469</v>
      </c>
      <c r="D1822" s="4" t="s">
        <v>11</v>
      </c>
      <c r="E1822" s="5">
        <v>0</v>
      </c>
      <c r="F1822" s="5">
        <v>0</v>
      </c>
      <c r="G1822" s="5">
        <v>0</v>
      </c>
      <c r="H1822" s="4" t="s">
        <v>11</v>
      </c>
      <c r="I1822" s="5">
        <v>0</v>
      </c>
      <c r="J1822" s="4">
        <v>45916.295081018521</v>
      </c>
    </row>
    <row r="1823" spans="1:10" x14ac:dyDescent="0.2">
      <c r="A1823" s="2" t="s">
        <v>10</v>
      </c>
      <c r="B1823" s="3" t="str">
        <f t="shared" si="38"/>
        <v>France - HCP Survey Email - June 2025</v>
      </c>
      <c r="C1823" s="3" t="str">
        <f>HYPERLINK("https://otsuka-europe-crm.veevavault.com/ui/#object/sent_email__v/VBLZ025E82GNOGN", "SE-000273470")</f>
        <v>SE-000273470</v>
      </c>
      <c r="D1823" s="4" t="s">
        <v>11</v>
      </c>
      <c r="E1823" s="5">
        <v>0</v>
      </c>
      <c r="F1823" s="5">
        <v>0</v>
      </c>
      <c r="G1823" s="5">
        <v>0</v>
      </c>
      <c r="H1823" s="4" t="s">
        <v>11</v>
      </c>
      <c r="I1823" s="5">
        <v>0</v>
      </c>
      <c r="J1823" s="4">
        <v>45916.294652777775</v>
      </c>
    </row>
    <row r="1824" spans="1:10" x14ac:dyDescent="0.2">
      <c r="A1824" s="2" t="s">
        <v>10</v>
      </c>
      <c r="B1824" s="3" t="str">
        <f t="shared" si="38"/>
        <v>France - HCP Survey Email - June 2025</v>
      </c>
      <c r="C1824" s="3" t="str">
        <f>HYPERLINK("https://otsuka-europe-crm.veevavault.com/ui/#object/sent_email__v/VBLZ025E82GNOGO", "SE-000273471")</f>
        <v>SE-000273471</v>
      </c>
      <c r="D1824" s="4">
        <v>45916.458194444444</v>
      </c>
      <c r="E1824" s="5">
        <v>1</v>
      </c>
      <c r="F1824" s="5">
        <v>2</v>
      </c>
      <c r="G1824" s="5">
        <v>1</v>
      </c>
      <c r="H1824" s="4">
        <v>45916.332916666666</v>
      </c>
      <c r="I1824" s="5">
        <v>1</v>
      </c>
      <c r="J1824" s="4">
        <v>45916.294502314813</v>
      </c>
    </row>
    <row r="1825" spans="1:10" x14ac:dyDescent="0.2">
      <c r="A1825" s="2" t="s">
        <v>10</v>
      </c>
      <c r="B1825" s="3" t="str">
        <f t="shared" si="38"/>
        <v>France - HCP Survey Email - June 2025</v>
      </c>
      <c r="C1825" s="3" t="str">
        <f>HYPERLINK("https://otsuka-europe-crm.veevavault.com/ui/#object/sent_email__v/VBLZ025E82GNOGP", "SE-000273472")</f>
        <v>SE-000273472</v>
      </c>
      <c r="D1825" s="4">
        <v>45938.571273148147</v>
      </c>
      <c r="E1825" s="5">
        <v>1</v>
      </c>
      <c r="F1825" s="5">
        <v>4</v>
      </c>
      <c r="G1825" s="5">
        <v>0</v>
      </c>
      <c r="H1825" s="4" t="s">
        <v>11</v>
      </c>
      <c r="I1825" s="5">
        <v>0</v>
      </c>
      <c r="J1825" s="4">
        <v>45916.294317129628</v>
      </c>
    </row>
    <row r="1826" spans="1:10" x14ac:dyDescent="0.2">
      <c r="A1826" s="2" t="s">
        <v>10</v>
      </c>
      <c r="B1826" s="3" t="str">
        <f t="shared" si="38"/>
        <v>France - HCP Survey Email - June 2025</v>
      </c>
      <c r="C1826" s="3" t="str">
        <f>HYPERLINK("https://otsuka-europe-crm.veevavault.com/ui/#object/sent_email__v/VBLZ025E82GNOGQ", "SE-000273473")</f>
        <v>SE-000273473</v>
      </c>
      <c r="D1826" s="4">
        <v>45944.948796296296</v>
      </c>
      <c r="E1826" s="5">
        <v>1</v>
      </c>
      <c r="F1826" s="5">
        <v>3</v>
      </c>
      <c r="G1826" s="5">
        <v>0</v>
      </c>
      <c r="H1826" s="4" t="s">
        <v>11</v>
      </c>
      <c r="I1826" s="5">
        <v>0</v>
      </c>
      <c r="J1826" s="4">
        <v>45916.295046296298</v>
      </c>
    </row>
    <row r="1827" spans="1:10" x14ac:dyDescent="0.2">
      <c r="A1827" s="2" t="s">
        <v>10</v>
      </c>
      <c r="B1827" s="3" t="str">
        <f t="shared" si="38"/>
        <v>France - HCP Survey Email - June 2025</v>
      </c>
      <c r="C1827" s="3" t="str">
        <f>HYPERLINK("https://otsuka-europe-crm.veevavault.com/ui/#object/sent_email__v/VBLZ025E82GNOGR", "SE-000273474")</f>
        <v>SE-000273474</v>
      </c>
      <c r="D1827" s="4" t="s">
        <v>11</v>
      </c>
      <c r="E1827" s="5">
        <v>0</v>
      </c>
      <c r="F1827" s="5">
        <v>0</v>
      </c>
      <c r="G1827" s="5">
        <v>0</v>
      </c>
      <c r="H1827" s="4" t="s">
        <v>11</v>
      </c>
      <c r="I1827" s="5">
        <v>0</v>
      </c>
      <c r="J1827" s="4">
        <v>45916.294710648152</v>
      </c>
    </row>
    <row r="1828" spans="1:10" x14ac:dyDescent="0.2">
      <c r="A1828" s="2" t="s">
        <v>10</v>
      </c>
      <c r="B1828" s="3" t="str">
        <f t="shared" si="38"/>
        <v>France - HCP Survey Email - June 2025</v>
      </c>
      <c r="C1828" s="3" t="str">
        <f>HYPERLINK("https://otsuka-europe-crm.veevavault.com/ui/#object/sent_email__v/VBLZ025E82GNOGS", "SE-000273475")</f>
        <v>SE-000273475</v>
      </c>
      <c r="D1828" s="4">
        <v>45916.480462962965</v>
      </c>
      <c r="E1828" s="5">
        <v>1</v>
      </c>
      <c r="F1828" s="5">
        <v>1</v>
      </c>
      <c r="G1828" s="5">
        <v>1</v>
      </c>
      <c r="H1828" s="4">
        <v>45916.481006944443</v>
      </c>
      <c r="I1828" s="5">
        <v>2</v>
      </c>
      <c r="J1828" s="4">
        <v>45916.294525462959</v>
      </c>
    </row>
    <row r="1829" spans="1:10" x14ac:dyDescent="0.2">
      <c r="A1829" s="2" t="s">
        <v>10</v>
      </c>
      <c r="B1829" s="3" t="str">
        <f t="shared" si="38"/>
        <v>France - HCP Survey Email - June 2025</v>
      </c>
      <c r="C1829" s="3" t="str">
        <f>HYPERLINK("https://otsuka-europe-crm.veevavault.com/ui/#object/sent_email__v/VBLZ025E82GNOGT", "SE-000273476")</f>
        <v>SE-000273476</v>
      </c>
      <c r="D1829" s="4" t="s">
        <v>11</v>
      </c>
      <c r="E1829" s="5">
        <v>0</v>
      </c>
      <c r="F1829" s="5">
        <v>0</v>
      </c>
      <c r="G1829" s="5">
        <v>0</v>
      </c>
      <c r="H1829" s="4" t="s">
        <v>11</v>
      </c>
      <c r="I1829" s="5">
        <v>0</v>
      </c>
      <c r="J1829" s="4">
        <v>45916.294293981482</v>
      </c>
    </row>
    <row r="1830" spans="1:10" x14ac:dyDescent="0.2">
      <c r="A1830" s="2" t="s">
        <v>10</v>
      </c>
      <c r="B1830" s="3" t="str">
        <f t="shared" si="38"/>
        <v>France - HCP Survey Email - June 2025</v>
      </c>
      <c r="C1830" s="3" t="str">
        <f>HYPERLINK("https://otsuka-europe-crm.veevavault.com/ui/#object/sent_email__v/VBLZ025E82GNOGU", "SE-000273477")</f>
        <v>SE-000273477</v>
      </c>
      <c r="D1830" s="4" t="s">
        <v>11</v>
      </c>
      <c r="E1830" s="5">
        <v>0</v>
      </c>
      <c r="F1830" s="5">
        <v>0</v>
      </c>
      <c r="G1830" s="5">
        <v>0</v>
      </c>
      <c r="H1830" s="4" t="s">
        <v>11</v>
      </c>
      <c r="I1830" s="5">
        <v>0</v>
      </c>
      <c r="J1830" s="4">
        <v>45916.294814814813</v>
      </c>
    </row>
    <row r="1831" spans="1:10" x14ac:dyDescent="0.2">
      <c r="A1831" s="2" t="s">
        <v>10</v>
      </c>
      <c r="B1831" s="3" t="str">
        <f t="shared" si="38"/>
        <v>France - HCP Survey Email - June 2025</v>
      </c>
      <c r="C1831" s="3" t="str">
        <f>HYPERLINK("https://otsuka-europe-crm.veevavault.com/ui/#object/sent_email__v/VBLZ025E82GNOGV", "SE-000273478")</f>
        <v>SE-000273478</v>
      </c>
      <c r="D1831" s="4" t="s">
        <v>11</v>
      </c>
      <c r="E1831" s="5">
        <v>0</v>
      </c>
      <c r="F1831" s="5">
        <v>0</v>
      </c>
      <c r="G1831" s="5">
        <v>0</v>
      </c>
      <c r="H1831" s="4" t="s">
        <v>11</v>
      </c>
      <c r="I1831" s="5">
        <v>0</v>
      </c>
      <c r="J1831" s="4">
        <v>45916.294710648152</v>
      </c>
    </row>
    <row r="1832" spans="1:10" x14ac:dyDescent="0.2">
      <c r="A1832" s="2" t="s">
        <v>10</v>
      </c>
      <c r="B1832" s="3" t="str">
        <f t="shared" si="38"/>
        <v>France - HCP Survey Email - June 2025</v>
      </c>
      <c r="C1832" s="3" t="str">
        <f>HYPERLINK("https://otsuka-europe-crm.veevavault.com/ui/#object/sent_email__v/VBLZ025E82GNOGW", "SE-000273479")</f>
        <v>SE-000273479</v>
      </c>
      <c r="D1832" s="4" t="s">
        <v>11</v>
      </c>
      <c r="E1832" s="5">
        <v>0</v>
      </c>
      <c r="F1832" s="5">
        <v>0</v>
      </c>
      <c r="G1832" s="5">
        <v>0</v>
      </c>
      <c r="H1832" s="4" t="s">
        <v>11</v>
      </c>
      <c r="I1832" s="5">
        <v>0</v>
      </c>
      <c r="J1832" s="4">
        <v>45916.294386574074</v>
      </c>
    </row>
    <row r="1833" spans="1:10" x14ac:dyDescent="0.2">
      <c r="A1833" s="2" t="s">
        <v>10</v>
      </c>
      <c r="B1833" s="3" t="str">
        <f t="shared" si="38"/>
        <v>France - HCP Survey Email - June 2025</v>
      </c>
      <c r="C1833" s="3" t="str">
        <f>HYPERLINK("https://otsuka-europe-crm.veevavault.com/ui/#object/sent_email__v/VBLZ025E82GNOGX", "SE-000273480")</f>
        <v>SE-000273480</v>
      </c>
      <c r="D1833" s="4" t="s">
        <v>11</v>
      </c>
      <c r="E1833" s="5">
        <v>0</v>
      </c>
      <c r="F1833" s="5">
        <v>0</v>
      </c>
      <c r="G1833" s="5">
        <v>0</v>
      </c>
      <c r="H1833" s="4" t="s">
        <v>11</v>
      </c>
      <c r="I1833" s="5">
        <v>0</v>
      </c>
      <c r="J1833" s="4">
        <v>45916.294189814813</v>
      </c>
    </row>
    <row r="1834" spans="1:10" x14ac:dyDescent="0.2">
      <c r="A1834" s="2" t="s">
        <v>10</v>
      </c>
      <c r="B1834" s="3" t="str">
        <f t="shared" si="38"/>
        <v>France - HCP Survey Email - June 2025</v>
      </c>
      <c r="C1834" s="3" t="str">
        <f>HYPERLINK("https://otsuka-europe-crm.veevavault.com/ui/#object/sent_email__v/VBLZ025E82GNOGY", "SE-000273481")</f>
        <v>SE-000273481</v>
      </c>
      <c r="D1834" s="4" t="s">
        <v>11</v>
      </c>
      <c r="E1834" s="5">
        <v>0</v>
      </c>
      <c r="F1834" s="5">
        <v>0</v>
      </c>
      <c r="G1834" s="5">
        <v>0</v>
      </c>
      <c r="H1834" s="4" t="s">
        <v>11</v>
      </c>
      <c r="I1834" s="5">
        <v>0</v>
      </c>
      <c r="J1834" s="4">
        <v>45916.29482638889</v>
      </c>
    </row>
    <row r="1835" spans="1:10" x14ac:dyDescent="0.2">
      <c r="A1835" s="2" t="s">
        <v>10</v>
      </c>
      <c r="B1835" s="3" t="str">
        <f t="shared" si="38"/>
        <v>France - HCP Survey Email - June 2025</v>
      </c>
      <c r="C1835" s="3" t="str">
        <f>HYPERLINK("https://otsuka-europe-crm.veevavault.com/ui/#object/sent_email__v/VBLZ025E82GNOGZ", "SE-000273482")</f>
        <v>SE-000273482</v>
      </c>
      <c r="D1835" s="4" t="s">
        <v>11</v>
      </c>
      <c r="E1835" s="5">
        <v>0</v>
      </c>
      <c r="F1835" s="5">
        <v>0</v>
      </c>
      <c r="G1835" s="5">
        <v>0</v>
      </c>
      <c r="H1835" s="4" t="s">
        <v>11</v>
      </c>
      <c r="I1835" s="5">
        <v>0</v>
      </c>
      <c r="J1835" s="4">
        <v>45916.294560185182</v>
      </c>
    </row>
    <row r="1836" spans="1:10" x14ac:dyDescent="0.2">
      <c r="A1836" s="2" t="s">
        <v>10</v>
      </c>
      <c r="B1836" s="3" t="str">
        <f t="shared" si="38"/>
        <v>France - HCP Survey Email - June 2025</v>
      </c>
      <c r="C1836" s="3" t="str">
        <f>HYPERLINK("https://otsuka-europe-crm.veevavault.com/ui/#object/sent_email__v/VBLZ025E82GNOH0", "SE-000273483")</f>
        <v>SE-000273483</v>
      </c>
      <c r="D1836" s="4">
        <v>45918.458368055559</v>
      </c>
      <c r="E1836" s="5">
        <v>1</v>
      </c>
      <c r="F1836" s="5">
        <v>6</v>
      </c>
      <c r="G1836" s="5">
        <v>0</v>
      </c>
      <c r="H1836" s="4" t="s">
        <v>11</v>
      </c>
      <c r="I1836" s="5">
        <v>0</v>
      </c>
      <c r="J1836" s="4">
        <v>45916.294351851851</v>
      </c>
    </row>
    <row r="1837" spans="1:10" x14ac:dyDescent="0.2">
      <c r="A1837" s="2" t="s">
        <v>10</v>
      </c>
      <c r="B1837" s="3" t="str">
        <f t="shared" si="38"/>
        <v>France - HCP Survey Email - June 2025</v>
      </c>
      <c r="C1837" s="3" t="str">
        <f>HYPERLINK("https://otsuka-europe-crm.veevavault.com/ui/#object/sent_email__v/VBLZ025E82GNOH1", "SE-000273484")</f>
        <v>SE-000273484</v>
      </c>
      <c r="D1837" s="4" t="s">
        <v>11</v>
      </c>
      <c r="E1837" s="5">
        <v>0</v>
      </c>
      <c r="F1837" s="5">
        <v>0</v>
      </c>
      <c r="G1837" s="5">
        <v>0</v>
      </c>
      <c r="H1837" s="4" t="s">
        <v>11</v>
      </c>
      <c r="I1837" s="5">
        <v>0</v>
      </c>
      <c r="J1837" s="4">
        <v>45916.294965277775</v>
      </c>
    </row>
    <row r="1838" spans="1:10" x14ac:dyDescent="0.2">
      <c r="A1838" s="2" t="s">
        <v>10</v>
      </c>
      <c r="B1838" s="3" t="str">
        <f t="shared" si="38"/>
        <v>France - HCP Survey Email - June 2025</v>
      </c>
      <c r="C1838" s="3" t="str">
        <f>HYPERLINK("https://otsuka-europe-crm.veevavault.com/ui/#object/sent_email__v/VBLZ025E82GNOH2", "SE-000273485")</f>
        <v>SE-000273485</v>
      </c>
      <c r="D1838" s="4">
        <v>45916.457719907405</v>
      </c>
      <c r="E1838" s="5">
        <v>1</v>
      </c>
      <c r="F1838" s="5">
        <v>1</v>
      </c>
      <c r="G1838" s="5">
        <v>0</v>
      </c>
      <c r="H1838" s="4" t="s">
        <v>11</v>
      </c>
      <c r="I1838" s="5">
        <v>0</v>
      </c>
      <c r="J1838" s="4">
        <v>45916.294745370367</v>
      </c>
    </row>
    <row r="1839" spans="1:10" x14ac:dyDescent="0.2">
      <c r="A1839" s="2" t="s">
        <v>10</v>
      </c>
      <c r="B1839" s="3" t="str">
        <f t="shared" si="38"/>
        <v>France - HCP Survey Email - June 2025</v>
      </c>
      <c r="C1839" s="3" t="str">
        <f>HYPERLINK("https://otsuka-europe-crm.veevavault.com/ui/#object/sent_email__v/VBLZ025E82GNOH3", "SE-000273486")</f>
        <v>SE-000273486</v>
      </c>
      <c r="D1839" s="4" t="s">
        <v>11</v>
      </c>
      <c r="E1839" s="5">
        <v>0</v>
      </c>
      <c r="F1839" s="5">
        <v>0</v>
      </c>
      <c r="G1839" s="5">
        <v>0</v>
      </c>
      <c r="H1839" s="4" t="s">
        <v>11</v>
      </c>
      <c r="I1839" s="5">
        <v>0</v>
      </c>
      <c r="J1839" s="4">
        <v>45916.294490740744</v>
      </c>
    </row>
    <row r="1840" spans="1:10" x14ac:dyDescent="0.2">
      <c r="A1840" s="2" t="s">
        <v>10</v>
      </c>
      <c r="B1840" s="3" t="str">
        <f t="shared" si="38"/>
        <v>France - HCP Survey Email - June 2025</v>
      </c>
      <c r="C1840" s="3" t="str">
        <f>HYPERLINK("https://otsuka-europe-crm.veevavault.com/ui/#object/sent_email__v/VBLZ025E82GNOH4", "SE-000273487")</f>
        <v>SE-000273487</v>
      </c>
      <c r="D1840" s="4">
        <v>45917.929525462961</v>
      </c>
      <c r="E1840" s="5">
        <v>1</v>
      </c>
      <c r="F1840" s="5">
        <v>1</v>
      </c>
      <c r="G1840" s="5">
        <v>0</v>
      </c>
      <c r="H1840" s="4" t="s">
        <v>11</v>
      </c>
      <c r="I1840" s="5">
        <v>0</v>
      </c>
      <c r="J1840" s="4">
        <v>45916.294293981482</v>
      </c>
    </row>
    <row r="1841" spans="1:10" x14ac:dyDescent="0.2">
      <c r="A1841" s="2" t="s">
        <v>10</v>
      </c>
      <c r="B1841" s="3" t="str">
        <f t="shared" si="38"/>
        <v>France - HCP Survey Email - June 2025</v>
      </c>
      <c r="C1841" s="3" t="str">
        <f>HYPERLINK("https://otsuka-europe-crm.veevavault.com/ui/#object/sent_email__v/VBLZ025E82GNOH5", "SE-000273488")</f>
        <v>SE-000273488</v>
      </c>
      <c r="D1841" s="4" t="s">
        <v>11</v>
      </c>
      <c r="E1841" s="5">
        <v>0</v>
      </c>
      <c r="F1841" s="5">
        <v>0</v>
      </c>
      <c r="G1841" s="5">
        <v>0</v>
      </c>
      <c r="H1841" s="4" t="s">
        <v>11</v>
      </c>
      <c r="I1841" s="5">
        <v>0</v>
      </c>
      <c r="J1841" s="4">
        <v>45916.29483796296</v>
      </c>
    </row>
    <row r="1842" spans="1:10" x14ac:dyDescent="0.2">
      <c r="A1842" s="2" t="s">
        <v>10</v>
      </c>
      <c r="B1842" s="3" t="str">
        <f t="shared" si="38"/>
        <v>France - HCP Survey Email - June 2025</v>
      </c>
      <c r="C1842" s="3" t="str">
        <f>HYPERLINK("https://otsuka-europe-crm.veevavault.com/ui/#object/sent_email__v/VBLZ025E82GNOH7", "SE-000273490")</f>
        <v>SE-000273490</v>
      </c>
      <c r="D1842" s="4" t="s">
        <v>11</v>
      </c>
      <c r="E1842" s="5">
        <v>0</v>
      </c>
      <c r="F1842" s="5">
        <v>0</v>
      </c>
      <c r="G1842" s="5">
        <v>0</v>
      </c>
      <c r="H1842" s="4" t="s">
        <v>11</v>
      </c>
      <c r="I1842" s="5">
        <v>0</v>
      </c>
      <c r="J1842" s="4">
        <v>45916.294328703705</v>
      </c>
    </row>
    <row r="1843" spans="1:10" x14ac:dyDescent="0.2">
      <c r="A1843" s="2" t="s">
        <v>10</v>
      </c>
      <c r="B1843" s="3" t="str">
        <f t="shared" si="38"/>
        <v>France - HCP Survey Email - June 2025</v>
      </c>
      <c r="C1843" s="3" t="str">
        <f>HYPERLINK("https://otsuka-europe-crm.veevavault.com/ui/#object/sent_email__v/VBLZ025E82GNOH8", "SE-000273491")</f>
        <v>SE-000273491</v>
      </c>
      <c r="D1843" s="4" t="s">
        <v>11</v>
      </c>
      <c r="E1843" s="5">
        <v>0</v>
      </c>
      <c r="F1843" s="5">
        <v>0</v>
      </c>
      <c r="G1843" s="5">
        <v>0</v>
      </c>
      <c r="H1843" s="4" t="s">
        <v>11</v>
      </c>
      <c r="I1843" s="5">
        <v>0</v>
      </c>
      <c r="J1843" s="4">
        <v>45916.294212962966</v>
      </c>
    </row>
    <row r="1844" spans="1:10" x14ac:dyDescent="0.2">
      <c r="A1844" s="2" t="s">
        <v>10</v>
      </c>
      <c r="B1844" s="3" t="str">
        <f t="shared" si="38"/>
        <v>France - HCP Survey Email - June 2025</v>
      </c>
      <c r="C1844" s="3" t="str">
        <f>HYPERLINK("https://otsuka-europe-crm.veevavault.com/ui/#object/sent_email__v/VBLZ025E82GNOH9", "SE-000273492")</f>
        <v>SE-000273492</v>
      </c>
      <c r="D1844" s="4">
        <v>45916.426886574074</v>
      </c>
      <c r="E1844" s="5">
        <v>1</v>
      </c>
      <c r="F1844" s="5">
        <v>2</v>
      </c>
      <c r="G1844" s="5">
        <v>0</v>
      </c>
      <c r="H1844" s="4" t="s">
        <v>11</v>
      </c>
      <c r="I1844" s="5">
        <v>0</v>
      </c>
      <c r="J1844" s="4">
        <v>45916.294791666667</v>
      </c>
    </row>
    <row r="1845" spans="1:10" x14ac:dyDescent="0.2">
      <c r="A1845" s="2" t="s">
        <v>10</v>
      </c>
      <c r="B1845" s="3" t="str">
        <f t="shared" si="38"/>
        <v>France - HCP Survey Email - June 2025</v>
      </c>
      <c r="C1845" s="3" t="str">
        <f>HYPERLINK("https://otsuka-europe-crm.veevavault.com/ui/#object/sent_email__v/VBLZ025E82GNOHA", "SE-000273493")</f>
        <v>SE-000273493</v>
      </c>
      <c r="D1845" s="4">
        <v>45916.392118055555</v>
      </c>
      <c r="E1845" s="5">
        <v>1</v>
      </c>
      <c r="F1845" s="5">
        <v>2</v>
      </c>
      <c r="G1845" s="5">
        <v>0</v>
      </c>
      <c r="H1845" s="4" t="s">
        <v>11</v>
      </c>
      <c r="I1845" s="5">
        <v>0</v>
      </c>
      <c r="J1845" s="4">
        <v>45916.294583333336</v>
      </c>
    </row>
    <row r="1846" spans="1:10" x14ac:dyDescent="0.2">
      <c r="A1846" s="2" t="s">
        <v>10</v>
      </c>
      <c r="B1846" s="3" t="str">
        <f t="shared" si="38"/>
        <v>France - HCP Survey Email - June 2025</v>
      </c>
      <c r="C1846" s="3" t="str">
        <f>HYPERLINK("https://otsuka-europe-crm.veevavault.com/ui/#object/sent_email__v/VBLZ025E82GNOHB", "SE-000273494")</f>
        <v>SE-000273494</v>
      </c>
      <c r="D1846" s="4" t="s">
        <v>11</v>
      </c>
      <c r="E1846" s="5">
        <v>0</v>
      </c>
      <c r="F1846" s="5">
        <v>0</v>
      </c>
      <c r="G1846" s="5">
        <v>0</v>
      </c>
      <c r="H1846" s="4" t="s">
        <v>11</v>
      </c>
      <c r="I1846" s="5">
        <v>0</v>
      </c>
      <c r="J1846" s="4">
        <v>45916.294317129628</v>
      </c>
    </row>
    <row r="1847" spans="1:10" x14ac:dyDescent="0.2">
      <c r="A1847" s="2" t="s">
        <v>10</v>
      </c>
      <c r="B1847" s="3" t="str">
        <f t="shared" si="38"/>
        <v>France - HCP Survey Email - June 2025</v>
      </c>
      <c r="C1847" s="3" t="str">
        <f>HYPERLINK("https://otsuka-europe-crm.veevavault.com/ui/#object/sent_email__v/VBLZ025E82GNOHC", "SE-000273495")</f>
        <v>SE-000273495</v>
      </c>
      <c r="D1847" s="4" t="s">
        <v>11</v>
      </c>
      <c r="E1847" s="5">
        <v>0</v>
      </c>
      <c r="F1847" s="5">
        <v>0</v>
      </c>
      <c r="G1847" s="5">
        <v>0</v>
      </c>
      <c r="H1847" s="4" t="s">
        <v>11</v>
      </c>
      <c r="I1847" s="5">
        <v>0</v>
      </c>
      <c r="J1847" s="4">
        <v>45916.294999999998</v>
      </c>
    </row>
    <row r="1848" spans="1:10" x14ac:dyDescent="0.2">
      <c r="A1848" s="2" t="s">
        <v>10</v>
      </c>
      <c r="B1848" s="3" t="str">
        <f t="shared" si="38"/>
        <v>France - HCP Survey Email - June 2025</v>
      </c>
      <c r="C1848" s="3" t="str">
        <f>HYPERLINK("https://otsuka-europe-crm.veevavault.com/ui/#object/sent_email__v/VBLZ025E82GNOHD", "SE-000273496")</f>
        <v>SE-000273496</v>
      </c>
      <c r="D1848" s="4" t="s">
        <v>11</v>
      </c>
      <c r="E1848" s="5">
        <v>0</v>
      </c>
      <c r="F1848" s="5">
        <v>0</v>
      </c>
      <c r="G1848" s="5">
        <v>0</v>
      </c>
      <c r="H1848" s="4" t="s">
        <v>11</v>
      </c>
      <c r="I1848" s="5">
        <v>0</v>
      </c>
      <c r="J1848" s="4">
        <v>45916.294710648152</v>
      </c>
    </row>
    <row r="1849" spans="1:10" x14ac:dyDescent="0.2">
      <c r="A1849" s="2" t="s">
        <v>10</v>
      </c>
      <c r="B1849" s="3" t="str">
        <f t="shared" si="38"/>
        <v>France - HCP Survey Email - June 2025</v>
      </c>
      <c r="C1849" s="3" t="str">
        <f>HYPERLINK("https://otsuka-europe-crm.veevavault.com/ui/#object/sent_email__v/VBLZ025E82GNOHE", "SE-000273497")</f>
        <v>SE-000273497</v>
      </c>
      <c r="D1849" s="4">
        <v>45917.868263888886</v>
      </c>
      <c r="E1849" s="5">
        <v>1</v>
      </c>
      <c r="F1849" s="5">
        <v>1</v>
      </c>
      <c r="G1849" s="5">
        <v>0</v>
      </c>
      <c r="H1849" s="4" t="s">
        <v>11</v>
      </c>
      <c r="I1849" s="5">
        <v>0</v>
      </c>
      <c r="J1849" s="4">
        <v>45916.294456018521</v>
      </c>
    </row>
    <row r="1850" spans="1:10" x14ac:dyDescent="0.2">
      <c r="A1850" s="2" t="s">
        <v>10</v>
      </c>
      <c r="B1850" s="3" t="str">
        <f t="shared" si="38"/>
        <v>France - HCP Survey Email - June 2025</v>
      </c>
      <c r="C1850" s="3" t="str">
        <f>HYPERLINK("https://otsuka-europe-crm.veevavault.com/ui/#object/sent_email__v/VBLZ025E82GNOHF", "SE-000273498")</f>
        <v>SE-000273498</v>
      </c>
      <c r="D1850" s="4" t="s">
        <v>11</v>
      </c>
      <c r="E1850" s="5">
        <v>0</v>
      </c>
      <c r="F1850" s="5">
        <v>0</v>
      </c>
      <c r="G1850" s="5">
        <v>0</v>
      </c>
      <c r="H1850" s="4" t="s">
        <v>11</v>
      </c>
      <c r="I1850" s="5">
        <v>0</v>
      </c>
      <c r="J1850" s="4">
        <v>45916.294270833336</v>
      </c>
    </row>
    <row r="1851" spans="1:10" x14ac:dyDescent="0.2">
      <c r="A1851" s="2" t="s">
        <v>10</v>
      </c>
      <c r="B1851" s="3" t="str">
        <f t="shared" si="38"/>
        <v>France - HCP Survey Email - June 2025</v>
      </c>
      <c r="C1851" s="3" t="str">
        <f>HYPERLINK("https://otsuka-europe-crm.veevavault.com/ui/#object/sent_email__v/VBLZ025E82GNOHG", "SE-000273499")</f>
        <v>SE-000273499</v>
      </c>
      <c r="D1851" s="4" t="s">
        <v>11</v>
      </c>
      <c r="E1851" s="5">
        <v>0</v>
      </c>
      <c r="F1851" s="5">
        <v>0</v>
      </c>
      <c r="G1851" s="5">
        <v>0</v>
      </c>
      <c r="H1851" s="4" t="s">
        <v>11</v>
      </c>
      <c r="I1851" s="5">
        <v>0</v>
      </c>
      <c r="J1851" s="4">
        <v>45916.294386574074</v>
      </c>
    </row>
    <row r="1852" spans="1:10" x14ac:dyDescent="0.2">
      <c r="A1852" s="2" t="s">
        <v>10</v>
      </c>
      <c r="B1852" s="3" t="str">
        <f t="shared" si="38"/>
        <v>France - HCP Survey Email - June 2025</v>
      </c>
      <c r="C1852" s="3" t="str">
        <f>HYPERLINK("https://otsuka-europe-crm.veevavault.com/ui/#object/sent_email__v/VBLZ025E82GNOHH", "SE-000273500")</f>
        <v>SE-000273500</v>
      </c>
      <c r="D1852" s="4">
        <v>45919.989340277774</v>
      </c>
      <c r="E1852" s="5">
        <v>1</v>
      </c>
      <c r="F1852" s="5">
        <v>1</v>
      </c>
      <c r="G1852" s="5">
        <v>0</v>
      </c>
      <c r="H1852" s="4" t="s">
        <v>11</v>
      </c>
      <c r="I1852" s="5">
        <v>0</v>
      </c>
      <c r="J1852" s="4">
        <v>45916.294988425929</v>
      </c>
    </row>
    <row r="1853" spans="1:10" x14ac:dyDescent="0.2">
      <c r="A1853" s="2" t="s">
        <v>10</v>
      </c>
      <c r="B1853" s="3" t="str">
        <f t="shared" si="38"/>
        <v>France - HCP Survey Email - June 2025</v>
      </c>
      <c r="C1853" s="3" t="str">
        <f>HYPERLINK("https://otsuka-europe-crm.veevavault.com/ui/#object/sent_email__v/VBLZ025E82GNOHI", "SE-000273501")</f>
        <v>SE-000273501</v>
      </c>
      <c r="D1853" s="4">
        <v>45916.829155092593</v>
      </c>
      <c r="E1853" s="5">
        <v>1</v>
      </c>
      <c r="F1853" s="5">
        <v>1</v>
      </c>
      <c r="G1853" s="5">
        <v>0</v>
      </c>
      <c r="H1853" s="4" t="s">
        <v>11</v>
      </c>
      <c r="I1853" s="5">
        <v>0</v>
      </c>
      <c r="J1853" s="4">
        <v>45916.294791666667</v>
      </c>
    </row>
    <row r="1854" spans="1:10" x14ac:dyDescent="0.2">
      <c r="A1854" s="2" t="s">
        <v>10</v>
      </c>
      <c r="B1854" s="3" t="str">
        <f t="shared" si="38"/>
        <v>France - HCP Survey Email - June 2025</v>
      </c>
      <c r="C1854" s="3" t="str">
        <f>HYPERLINK("https://otsuka-europe-crm.veevavault.com/ui/#object/sent_email__v/VBLZ025E82GNOHJ", "SE-000273502")</f>
        <v>SE-000273502</v>
      </c>
      <c r="D1854" s="4" t="s">
        <v>11</v>
      </c>
      <c r="E1854" s="5">
        <v>0</v>
      </c>
      <c r="F1854" s="5">
        <v>0</v>
      </c>
      <c r="G1854" s="5">
        <v>0</v>
      </c>
      <c r="H1854" s="4" t="s">
        <v>11</v>
      </c>
      <c r="I1854" s="5">
        <v>0</v>
      </c>
      <c r="J1854" s="4">
        <v>45916.294502314813</v>
      </c>
    </row>
    <row r="1855" spans="1:10" x14ac:dyDescent="0.2">
      <c r="A1855" s="2" t="s">
        <v>10</v>
      </c>
      <c r="B1855" s="3" t="str">
        <f t="shared" si="38"/>
        <v>France - HCP Survey Email - June 2025</v>
      </c>
      <c r="C1855" s="3" t="str">
        <f>HYPERLINK("https://otsuka-europe-crm.veevavault.com/ui/#object/sent_email__v/VBLZ025E82GNOHK", "SE-000273503")</f>
        <v>SE-000273503</v>
      </c>
      <c r="D1855" s="4" t="s">
        <v>11</v>
      </c>
      <c r="E1855" s="5">
        <v>0</v>
      </c>
      <c r="F1855" s="5">
        <v>0</v>
      </c>
      <c r="G1855" s="5">
        <v>0</v>
      </c>
      <c r="H1855" s="4" t="s">
        <v>11</v>
      </c>
      <c r="I1855" s="5">
        <v>0</v>
      </c>
      <c r="J1855" s="4">
        <v>45916.294282407405</v>
      </c>
    </row>
    <row r="1856" spans="1:10" x14ac:dyDescent="0.2">
      <c r="A1856" s="2" t="s">
        <v>10</v>
      </c>
      <c r="B1856" s="3" t="str">
        <f t="shared" si="38"/>
        <v>France - HCP Survey Email - June 2025</v>
      </c>
      <c r="C1856" s="3" t="str">
        <f>HYPERLINK("https://otsuka-europe-crm.veevavault.com/ui/#object/sent_email__v/VBLZ025E82GNOHL", "SE-000273504")</f>
        <v>SE-000273504</v>
      </c>
      <c r="D1856" s="4" t="s">
        <v>11</v>
      </c>
      <c r="E1856" s="5">
        <v>0</v>
      </c>
      <c r="F1856" s="5">
        <v>0</v>
      </c>
      <c r="G1856" s="5">
        <v>0</v>
      </c>
      <c r="H1856" s="4" t="s">
        <v>11</v>
      </c>
      <c r="I1856" s="5">
        <v>0</v>
      </c>
      <c r="J1856" s="4">
        <v>45916.29488425926</v>
      </c>
    </row>
    <row r="1857" spans="1:10" x14ac:dyDescent="0.2">
      <c r="A1857" s="2" t="s">
        <v>10</v>
      </c>
      <c r="B1857" s="3" t="str">
        <f t="shared" ref="B1857:B1920" si="39">HYPERLINK("https://otsuka-europe-crm.veevavault.com/ui/#object/approved_document__v/V5OZ025E82TMV97", "France - HCP Survey Email - June 2025")</f>
        <v>France - HCP Survey Email - June 2025</v>
      </c>
      <c r="C1857" s="3" t="str">
        <f>HYPERLINK("https://otsuka-europe-crm.veevavault.com/ui/#object/sent_email__v/VBLZ025E82GNOHM", "SE-000273505")</f>
        <v>SE-000273505</v>
      </c>
      <c r="D1857" s="4">
        <v>45919.821932870371</v>
      </c>
      <c r="E1857" s="5">
        <v>1</v>
      </c>
      <c r="F1857" s="5">
        <v>1</v>
      </c>
      <c r="G1857" s="5">
        <v>0</v>
      </c>
      <c r="H1857" s="4" t="s">
        <v>11</v>
      </c>
      <c r="I1857" s="5">
        <v>0</v>
      </c>
      <c r="J1857" s="4">
        <v>45916.294629629629</v>
      </c>
    </row>
    <row r="1858" spans="1:10" x14ac:dyDescent="0.2">
      <c r="A1858" s="2" t="s">
        <v>10</v>
      </c>
      <c r="B1858" s="3" t="str">
        <f t="shared" si="39"/>
        <v>France - HCP Survey Email - June 2025</v>
      </c>
      <c r="C1858" s="3" t="str">
        <f>HYPERLINK("https://otsuka-europe-crm.veevavault.com/ui/#object/sent_email__v/VBLZ025E82GNOHN", "SE-000273506")</f>
        <v>SE-000273506</v>
      </c>
      <c r="D1858" s="4">
        <v>45916.3128125</v>
      </c>
      <c r="E1858" s="5">
        <v>1</v>
      </c>
      <c r="F1858" s="5">
        <v>1</v>
      </c>
      <c r="G1858" s="5">
        <v>0</v>
      </c>
      <c r="H1858" s="4" t="s">
        <v>11</v>
      </c>
      <c r="I1858" s="5">
        <v>0</v>
      </c>
      <c r="J1858" s="4">
        <v>45916.294409722221</v>
      </c>
    </row>
    <row r="1859" spans="1:10" x14ac:dyDescent="0.2">
      <c r="A1859" s="2" t="s">
        <v>10</v>
      </c>
      <c r="B1859" s="3" t="str">
        <f t="shared" si="39"/>
        <v>France - HCP Survey Email - June 2025</v>
      </c>
      <c r="C1859" s="3" t="str">
        <f>HYPERLINK("https://otsuka-europe-crm.veevavault.com/ui/#object/sent_email__v/VBLZ025E82GNOHO", "SE-000273507")</f>
        <v>SE-000273507</v>
      </c>
      <c r="D1859" s="4" t="s">
        <v>11</v>
      </c>
      <c r="E1859" s="5">
        <v>0</v>
      </c>
      <c r="F1859" s="5">
        <v>0</v>
      </c>
      <c r="G1859" s="5">
        <v>0</v>
      </c>
      <c r="H1859" s="4" t="s">
        <v>11</v>
      </c>
      <c r="I1859" s="5">
        <v>0</v>
      </c>
      <c r="J1859" s="4">
        <v>45916.294270833336</v>
      </c>
    </row>
    <row r="1860" spans="1:10" x14ac:dyDescent="0.2">
      <c r="A1860" s="2" t="s">
        <v>10</v>
      </c>
      <c r="B1860" s="3" t="str">
        <f t="shared" si="39"/>
        <v>France - HCP Survey Email - June 2025</v>
      </c>
      <c r="C1860" s="3" t="str">
        <f>HYPERLINK("https://otsuka-europe-crm.veevavault.com/ui/#object/sent_email__v/VBLZ025E82GNOHP", "SE-000273508")</f>
        <v>SE-000273508</v>
      </c>
      <c r="D1860" s="4" t="s">
        <v>11</v>
      </c>
      <c r="E1860" s="5">
        <v>0</v>
      </c>
      <c r="F1860" s="5">
        <v>0</v>
      </c>
      <c r="G1860" s="5">
        <v>0</v>
      </c>
      <c r="H1860" s="4" t="s">
        <v>11</v>
      </c>
      <c r="I1860" s="5">
        <v>0</v>
      </c>
      <c r="J1860" s="4">
        <v>45916.29488425926</v>
      </c>
    </row>
    <row r="1861" spans="1:10" x14ac:dyDescent="0.2">
      <c r="A1861" s="2" t="s">
        <v>10</v>
      </c>
      <c r="B1861" s="3" t="str">
        <f t="shared" si="39"/>
        <v>France - HCP Survey Email - June 2025</v>
      </c>
      <c r="C1861" s="3" t="str">
        <f>HYPERLINK("https://otsuka-europe-crm.veevavault.com/ui/#object/sent_email__v/VBLZ025E82GNOHQ", "SE-000273509")</f>
        <v>SE-000273509</v>
      </c>
      <c r="D1861" s="4">
        <v>45916.473935185182</v>
      </c>
      <c r="E1861" s="5">
        <v>1</v>
      </c>
      <c r="F1861" s="5">
        <v>1</v>
      </c>
      <c r="G1861" s="5">
        <v>0</v>
      </c>
      <c r="H1861" s="4" t="s">
        <v>11</v>
      </c>
      <c r="I1861" s="5">
        <v>0</v>
      </c>
      <c r="J1861" s="4">
        <v>45916.294583333336</v>
      </c>
    </row>
    <row r="1862" spans="1:10" x14ac:dyDescent="0.2">
      <c r="A1862" s="2" t="s">
        <v>10</v>
      </c>
      <c r="B1862" s="3" t="str">
        <f t="shared" si="39"/>
        <v>France - HCP Survey Email - June 2025</v>
      </c>
      <c r="C1862" s="3" t="str">
        <f>HYPERLINK("https://otsuka-europe-crm.veevavault.com/ui/#object/sent_email__v/VBLZ025E82GNOHR", "SE-000273510")</f>
        <v>SE-000273510</v>
      </c>
      <c r="D1862" s="4" t="s">
        <v>11</v>
      </c>
      <c r="E1862" s="5">
        <v>0</v>
      </c>
      <c r="F1862" s="5">
        <v>0</v>
      </c>
      <c r="G1862" s="5">
        <v>0</v>
      </c>
      <c r="H1862" s="4" t="s">
        <v>11</v>
      </c>
      <c r="I1862" s="5">
        <v>0</v>
      </c>
      <c r="J1862" s="4">
        <v>45916.294363425928</v>
      </c>
    </row>
    <row r="1863" spans="1:10" x14ac:dyDescent="0.2">
      <c r="A1863" s="2" t="s">
        <v>10</v>
      </c>
      <c r="B1863" s="3" t="str">
        <f t="shared" si="39"/>
        <v>France - HCP Survey Email - June 2025</v>
      </c>
      <c r="C1863" s="3" t="str">
        <f>HYPERLINK("https://otsuka-europe-crm.veevavault.com/ui/#object/sent_email__v/VBLZ025E82GNOHS", "SE-000273511")</f>
        <v>SE-000273511</v>
      </c>
      <c r="D1863" s="4" t="s">
        <v>11</v>
      </c>
      <c r="E1863" s="5">
        <v>0</v>
      </c>
      <c r="F1863" s="5">
        <v>0</v>
      </c>
      <c r="G1863" s="5">
        <v>0</v>
      </c>
      <c r="H1863" s="4" t="s">
        <v>11</v>
      </c>
      <c r="I1863" s="5">
        <v>0</v>
      </c>
      <c r="J1863" s="4">
        <v>45916.294872685183</v>
      </c>
    </row>
    <row r="1864" spans="1:10" x14ac:dyDescent="0.2">
      <c r="A1864" s="2" t="s">
        <v>10</v>
      </c>
      <c r="B1864" s="3" t="str">
        <f t="shared" si="39"/>
        <v>France - HCP Survey Email - June 2025</v>
      </c>
      <c r="C1864" s="3" t="str">
        <f>HYPERLINK("https://otsuka-europe-crm.veevavault.com/ui/#object/sent_email__v/VBLZ025E82GNOHT", "SE-000273512")</f>
        <v>SE-000273512</v>
      </c>
      <c r="D1864" s="4">
        <v>45924.537407407406</v>
      </c>
      <c r="E1864" s="5">
        <v>1</v>
      </c>
      <c r="F1864" s="5">
        <v>4</v>
      </c>
      <c r="G1864" s="5">
        <v>0</v>
      </c>
      <c r="H1864" s="4" t="s">
        <v>11</v>
      </c>
      <c r="I1864" s="5">
        <v>0</v>
      </c>
      <c r="J1864" s="4">
        <v>45916.294664351852</v>
      </c>
    </row>
    <row r="1865" spans="1:10" x14ac:dyDescent="0.2">
      <c r="A1865" s="2" t="s">
        <v>10</v>
      </c>
      <c r="B1865" s="3" t="str">
        <f t="shared" si="39"/>
        <v>France - HCP Survey Email - June 2025</v>
      </c>
      <c r="C1865" s="3" t="str">
        <f>HYPERLINK("https://otsuka-europe-crm.veevavault.com/ui/#object/sent_email__v/VBLZ025E82GNOHU", "SE-000273513")</f>
        <v>SE-000273513</v>
      </c>
      <c r="D1865" s="4" t="s">
        <v>11</v>
      </c>
      <c r="E1865" s="5">
        <v>0</v>
      </c>
      <c r="F1865" s="5">
        <v>0</v>
      </c>
      <c r="G1865" s="5">
        <v>0</v>
      </c>
      <c r="H1865" s="4" t="s">
        <v>11</v>
      </c>
      <c r="I1865" s="5">
        <v>0</v>
      </c>
      <c r="J1865" s="4">
        <v>45916.294548611113</v>
      </c>
    </row>
    <row r="1866" spans="1:10" x14ac:dyDescent="0.2">
      <c r="A1866" s="2" t="s">
        <v>10</v>
      </c>
      <c r="B1866" s="3" t="str">
        <f t="shared" si="39"/>
        <v>France - HCP Survey Email - June 2025</v>
      </c>
      <c r="C1866" s="3" t="str">
        <f>HYPERLINK("https://otsuka-europe-crm.veevavault.com/ui/#object/sent_email__v/VBLZ025E82GNOHV", "SE-000273514")</f>
        <v>SE-000273514</v>
      </c>
      <c r="D1866" s="4" t="s">
        <v>11</v>
      </c>
      <c r="E1866" s="5">
        <v>0</v>
      </c>
      <c r="F1866" s="5">
        <v>0</v>
      </c>
      <c r="G1866" s="5">
        <v>0</v>
      </c>
      <c r="H1866" s="4" t="s">
        <v>11</v>
      </c>
      <c r="I1866" s="5">
        <v>0</v>
      </c>
      <c r="J1866" s="4">
        <v>45916.294212962966</v>
      </c>
    </row>
    <row r="1867" spans="1:10" x14ac:dyDescent="0.2">
      <c r="A1867" s="2" t="s">
        <v>10</v>
      </c>
      <c r="B1867" s="3" t="str">
        <f t="shared" si="39"/>
        <v>France - HCP Survey Email - June 2025</v>
      </c>
      <c r="C1867" s="3" t="str">
        <f>HYPERLINK("https://otsuka-europe-crm.veevavault.com/ui/#object/sent_email__v/VBLZ025E82GNOHW", "SE-000273515")</f>
        <v>SE-000273515</v>
      </c>
      <c r="D1867" s="4" t="s">
        <v>11</v>
      </c>
      <c r="E1867" s="5">
        <v>0</v>
      </c>
      <c r="F1867" s="5">
        <v>0</v>
      </c>
      <c r="G1867" s="5">
        <v>0</v>
      </c>
      <c r="H1867" s="4" t="s">
        <v>11</v>
      </c>
      <c r="I1867" s="5">
        <v>0</v>
      </c>
      <c r="J1867" s="4">
        <v>45916.294861111113</v>
      </c>
    </row>
    <row r="1868" spans="1:10" x14ac:dyDescent="0.2">
      <c r="A1868" s="2" t="s">
        <v>10</v>
      </c>
      <c r="B1868" s="3" t="str">
        <f t="shared" si="39"/>
        <v>France - HCP Survey Email - June 2025</v>
      </c>
      <c r="C1868" s="3" t="str">
        <f>HYPERLINK("https://otsuka-europe-crm.veevavault.com/ui/#object/sent_email__v/VBLZ025E82GNOHX", "SE-000273516")</f>
        <v>SE-000273516</v>
      </c>
      <c r="D1868" s="4" t="s">
        <v>11</v>
      </c>
      <c r="E1868" s="5">
        <v>0</v>
      </c>
      <c r="F1868" s="5">
        <v>0</v>
      </c>
      <c r="G1868" s="5">
        <v>0</v>
      </c>
      <c r="H1868" s="4" t="s">
        <v>11</v>
      </c>
      <c r="I1868" s="5">
        <v>0</v>
      </c>
      <c r="J1868" s="4">
        <v>45916.294571759259</v>
      </c>
    </row>
    <row r="1869" spans="1:10" x14ac:dyDescent="0.2">
      <c r="A1869" s="2" t="s">
        <v>10</v>
      </c>
      <c r="B1869" s="3" t="str">
        <f t="shared" si="39"/>
        <v>France - HCP Survey Email - June 2025</v>
      </c>
      <c r="C1869" s="3" t="str">
        <f>HYPERLINK("https://otsuka-europe-crm.veevavault.com/ui/#object/sent_email__v/VBLZ025E82GNOHY", "SE-000273517")</f>
        <v>SE-000273517</v>
      </c>
      <c r="D1869" s="4" t="s">
        <v>11</v>
      </c>
      <c r="E1869" s="5">
        <v>0</v>
      </c>
      <c r="F1869" s="5">
        <v>0</v>
      </c>
      <c r="G1869" s="5">
        <v>0</v>
      </c>
      <c r="H1869" s="4" t="s">
        <v>11</v>
      </c>
      <c r="I1869" s="5">
        <v>0</v>
      </c>
      <c r="J1869" s="4">
        <v>45916.294386574074</v>
      </c>
    </row>
    <row r="1870" spans="1:10" x14ac:dyDescent="0.2">
      <c r="A1870" s="2" t="s">
        <v>10</v>
      </c>
      <c r="B1870" s="3" t="str">
        <f t="shared" si="39"/>
        <v>France - HCP Survey Email - June 2025</v>
      </c>
      <c r="C1870" s="3" t="str">
        <f>HYPERLINK("https://otsuka-europe-crm.veevavault.com/ui/#object/sent_email__v/VBLZ025E82GNOHZ", "SE-000273518")</f>
        <v>SE-000273518</v>
      </c>
      <c r="D1870" s="4">
        <v>45918.652581018519</v>
      </c>
      <c r="E1870" s="5">
        <v>1</v>
      </c>
      <c r="F1870" s="5">
        <v>1</v>
      </c>
      <c r="G1870" s="5">
        <v>0</v>
      </c>
      <c r="H1870" s="4" t="s">
        <v>11</v>
      </c>
      <c r="I1870" s="5">
        <v>0</v>
      </c>
      <c r="J1870" s="4">
        <v>45916.294236111113</v>
      </c>
    </row>
    <row r="1871" spans="1:10" x14ac:dyDescent="0.2">
      <c r="A1871" s="2" t="s">
        <v>10</v>
      </c>
      <c r="B1871" s="3" t="str">
        <f t="shared" si="39"/>
        <v>France - HCP Survey Email - June 2025</v>
      </c>
      <c r="C1871" s="3" t="str">
        <f>HYPERLINK("https://otsuka-europe-crm.veevavault.com/ui/#object/sent_email__v/VBLZ025E82GNOI0", "SE-000273519")</f>
        <v>SE-000273519</v>
      </c>
      <c r="D1871" s="4">
        <v>45916.351319444446</v>
      </c>
      <c r="E1871" s="5">
        <v>1</v>
      </c>
      <c r="F1871" s="5">
        <v>2</v>
      </c>
      <c r="G1871" s="5">
        <v>1</v>
      </c>
      <c r="H1871" s="4">
        <v>45916.295648148145</v>
      </c>
      <c r="I1871" s="5">
        <v>1</v>
      </c>
      <c r="J1871" s="4">
        <v>45916.294756944444</v>
      </c>
    </row>
    <row r="1872" spans="1:10" x14ac:dyDescent="0.2">
      <c r="A1872" s="2" t="s">
        <v>10</v>
      </c>
      <c r="B1872" s="3" t="str">
        <f t="shared" si="39"/>
        <v>France - HCP Survey Email - June 2025</v>
      </c>
      <c r="C1872" s="3" t="str">
        <f>HYPERLINK("https://otsuka-europe-crm.veevavault.com/ui/#object/sent_email__v/VBLZ025E82GNOI1", "SE-000273520")</f>
        <v>SE-000273520</v>
      </c>
      <c r="D1872" s="4" t="s">
        <v>11</v>
      </c>
      <c r="E1872" s="5">
        <v>0</v>
      </c>
      <c r="F1872" s="5">
        <v>0</v>
      </c>
      <c r="G1872" s="5">
        <v>0</v>
      </c>
      <c r="H1872" s="4" t="s">
        <v>11</v>
      </c>
      <c r="I1872" s="5">
        <v>0</v>
      </c>
      <c r="J1872" s="4">
        <v>45916.294571759259</v>
      </c>
    </row>
    <row r="1873" spans="1:10" x14ac:dyDescent="0.2">
      <c r="A1873" s="2" t="s">
        <v>10</v>
      </c>
      <c r="B1873" s="3" t="str">
        <f t="shared" si="39"/>
        <v>France - HCP Survey Email - June 2025</v>
      </c>
      <c r="C1873" s="3" t="str">
        <f>HYPERLINK("https://otsuka-europe-crm.veevavault.com/ui/#object/sent_email__v/VBLZ025E82GNOI2", "SE-000273521")</f>
        <v>SE-000273521</v>
      </c>
      <c r="D1873" s="4">
        <v>45916.549525462964</v>
      </c>
      <c r="E1873" s="5">
        <v>1</v>
      </c>
      <c r="F1873" s="5">
        <v>4</v>
      </c>
      <c r="G1873" s="5">
        <v>0</v>
      </c>
      <c r="H1873" s="4" t="s">
        <v>11</v>
      </c>
      <c r="I1873" s="5">
        <v>0</v>
      </c>
      <c r="J1873" s="4">
        <v>45916.294340277775</v>
      </c>
    </row>
    <row r="1874" spans="1:10" x14ac:dyDescent="0.2">
      <c r="A1874" s="2" t="s">
        <v>10</v>
      </c>
      <c r="B1874" s="3" t="str">
        <f t="shared" si="39"/>
        <v>France - HCP Survey Email - June 2025</v>
      </c>
      <c r="C1874" s="3" t="str">
        <f>HYPERLINK("https://otsuka-europe-crm.veevavault.com/ui/#object/sent_email__v/VBLZ025E82GNOI3", "SE-000273522")</f>
        <v>SE-000273522</v>
      </c>
      <c r="D1874" s="4">
        <v>45916.30841435185</v>
      </c>
      <c r="E1874" s="5">
        <v>1</v>
      </c>
      <c r="F1874" s="5">
        <v>1</v>
      </c>
      <c r="G1874" s="5">
        <v>0</v>
      </c>
      <c r="H1874" s="4" t="s">
        <v>11</v>
      </c>
      <c r="I1874" s="5">
        <v>0</v>
      </c>
      <c r="J1874" s="4">
        <v>45916.294999999998</v>
      </c>
    </row>
    <row r="1875" spans="1:10" x14ac:dyDescent="0.2">
      <c r="A1875" s="2" t="s">
        <v>10</v>
      </c>
      <c r="B1875" s="3" t="str">
        <f t="shared" si="39"/>
        <v>France - HCP Survey Email - June 2025</v>
      </c>
      <c r="C1875" s="3" t="str">
        <f>HYPERLINK("https://otsuka-europe-crm.veevavault.com/ui/#object/sent_email__v/VBLZ025E82GNOI4", "SE-000273523")</f>
        <v>SE-000273523</v>
      </c>
      <c r="D1875" s="4" t="s">
        <v>11</v>
      </c>
      <c r="E1875" s="5">
        <v>0</v>
      </c>
      <c r="F1875" s="5">
        <v>0</v>
      </c>
      <c r="G1875" s="5">
        <v>0</v>
      </c>
      <c r="H1875" s="4" t="s">
        <v>11</v>
      </c>
      <c r="I1875" s="5">
        <v>0</v>
      </c>
      <c r="J1875" s="4">
        <v>45916.294722222221</v>
      </c>
    </row>
    <row r="1876" spans="1:10" x14ac:dyDescent="0.2">
      <c r="A1876" s="2" t="s">
        <v>10</v>
      </c>
      <c r="B1876" s="3" t="str">
        <f t="shared" si="39"/>
        <v>France - HCP Survey Email - June 2025</v>
      </c>
      <c r="C1876" s="3" t="str">
        <f>HYPERLINK("https://otsuka-europe-crm.veevavault.com/ui/#object/sent_email__v/VBLZ025E82GNOI5", "SE-000273524")</f>
        <v>SE-000273524</v>
      </c>
      <c r="D1876" s="4">
        <v>45917.886030092595</v>
      </c>
      <c r="E1876" s="5">
        <v>1</v>
      </c>
      <c r="F1876" s="5">
        <v>1</v>
      </c>
      <c r="G1876" s="5">
        <v>0</v>
      </c>
      <c r="H1876" s="4" t="s">
        <v>11</v>
      </c>
      <c r="I1876" s="5">
        <v>0</v>
      </c>
      <c r="J1876" s="4">
        <v>45916.294363425928</v>
      </c>
    </row>
    <row r="1877" spans="1:10" x14ac:dyDescent="0.2">
      <c r="A1877" s="2" t="s">
        <v>10</v>
      </c>
      <c r="B1877" s="3" t="str">
        <f t="shared" si="39"/>
        <v>France - HCP Survey Email - June 2025</v>
      </c>
      <c r="C1877" s="3" t="str">
        <f>HYPERLINK("https://otsuka-europe-crm.veevavault.com/ui/#object/sent_email__v/VBLZ025E82GNOI6", "SE-000273525")</f>
        <v>SE-000273525</v>
      </c>
      <c r="D1877" s="4" t="s">
        <v>11</v>
      </c>
      <c r="E1877" s="5">
        <v>0</v>
      </c>
      <c r="F1877" s="5">
        <v>0</v>
      </c>
      <c r="G1877" s="5">
        <v>0</v>
      </c>
      <c r="H1877" s="4" t="s">
        <v>11</v>
      </c>
      <c r="I1877" s="5">
        <v>0</v>
      </c>
      <c r="J1877" s="4">
        <v>45916.294236111113</v>
      </c>
    </row>
    <row r="1878" spans="1:10" x14ac:dyDescent="0.2">
      <c r="A1878" s="2" t="s">
        <v>10</v>
      </c>
      <c r="B1878" s="3" t="str">
        <f t="shared" si="39"/>
        <v>France - HCP Survey Email - June 2025</v>
      </c>
      <c r="C1878" s="3" t="str">
        <f>HYPERLINK("https://otsuka-europe-crm.veevavault.com/ui/#object/sent_email__v/VBLZ025E82GNOI7", "SE-000273526")</f>
        <v>SE-000273526</v>
      </c>
      <c r="D1878" s="4">
        <v>45918.717557870368</v>
      </c>
      <c r="E1878" s="5">
        <v>1</v>
      </c>
      <c r="F1878" s="5">
        <v>4</v>
      </c>
      <c r="G1878" s="5">
        <v>0</v>
      </c>
      <c r="H1878" s="4" t="s">
        <v>11</v>
      </c>
      <c r="I1878" s="5">
        <v>0</v>
      </c>
      <c r="J1878" s="4">
        <v>45916.294930555552</v>
      </c>
    </row>
    <row r="1879" spans="1:10" x14ac:dyDescent="0.2">
      <c r="A1879" s="2" t="s">
        <v>10</v>
      </c>
      <c r="B1879" s="3" t="str">
        <f t="shared" si="39"/>
        <v>France - HCP Survey Email - June 2025</v>
      </c>
      <c r="C1879" s="3" t="str">
        <f>HYPERLINK("https://otsuka-europe-crm.veevavault.com/ui/#object/sent_email__v/VBLZ025E82GNOI8", "SE-000273527")</f>
        <v>SE-000273527</v>
      </c>
      <c r="D1879" s="4" t="s">
        <v>11</v>
      </c>
      <c r="E1879" s="5">
        <v>0</v>
      </c>
      <c r="F1879" s="5">
        <v>0</v>
      </c>
      <c r="G1879" s="5">
        <v>0</v>
      </c>
      <c r="H1879" s="4" t="s">
        <v>11</v>
      </c>
      <c r="I1879" s="5">
        <v>0</v>
      </c>
      <c r="J1879" s="4">
        <v>45916.294722222221</v>
      </c>
    </row>
    <row r="1880" spans="1:10" x14ac:dyDescent="0.2">
      <c r="A1880" s="2" t="s">
        <v>10</v>
      </c>
      <c r="B1880" s="3" t="str">
        <f t="shared" si="39"/>
        <v>France - HCP Survey Email - June 2025</v>
      </c>
      <c r="C1880" s="3" t="str">
        <f>HYPERLINK("https://otsuka-europe-crm.veevavault.com/ui/#object/sent_email__v/VBLZ025E82GNOI9", "SE-000273528")</f>
        <v>SE-000273528</v>
      </c>
      <c r="D1880" s="4" t="s">
        <v>11</v>
      </c>
      <c r="E1880" s="5">
        <v>0</v>
      </c>
      <c r="F1880" s="5">
        <v>0</v>
      </c>
      <c r="G1880" s="5">
        <v>0</v>
      </c>
      <c r="H1880" s="4" t="s">
        <v>11</v>
      </c>
      <c r="I1880" s="5">
        <v>0</v>
      </c>
      <c r="J1880" s="4">
        <v>45916.294305555559</v>
      </c>
    </row>
    <row r="1881" spans="1:10" x14ac:dyDescent="0.2">
      <c r="A1881" s="2" t="s">
        <v>10</v>
      </c>
      <c r="B1881" s="3" t="str">
        <f t="shared" si="39"/>
        <v>France - HCP Survey Email - June 2025</v>
      </c>
      <c r="C1881" s="3" t="str">
        <f>HYPERLINK("https://otsuka-europe-crm.veevavault.com/ui/#object/sent_email__v/VBLZ025E82GNOIA", "SE-000273529")</f>
        <v>SE-000273529</v>
      </c>
      <c r="D1881" s="4">
        <v>45916.305324074077</v>
      </c>
      <c r="E1881" s="5">
        <v>1</v>
      </c>
      <c r="F1881" s="5">
        <v>1</v>
      </c>
      <c r="G1881" s="5">
        <v>1</v>
      </c>
      <c r="H1881" s="4">
        <v>45916.305324074077</v>
      </c>
      <c r="I1881" s="5">
        <v>1</v>
      </c>
      <c r="J1881" s="4">
        <v>45916.294189814813</v>
      </c>
    </row>
    <row r="1882" spans="1:10" x14ac:dyDescent="0.2">
      <c r="A1882" s="2" t="s">
        <v>10</v>
      </c>
      <c r="B1882" s="3" t="str">
        <f t="shared" si="39"/>
        <v>France - HCP Survey Email - June 2025</v>
      </c>
      <c r="C1882" s="3" t="str">
        <f>HYPERLINK("https://otsuka-europe-crm.veevavault.com/ui/#object/sent_email__v/VBLZ025E82GNOIB", "SE-000273530")</f>
        <v>SE-000273530</v>
      </c>
      <c r="D1882" s="4" t="s">
        <v>11</v>
      </c>
      <c r="E1882" s="5">
        <v>0</v>
      </c>
      <c r="F1882" s="5">
        <v>0</v>
      </c>
      <c r="G1882" s="5">
        <v>0</v>
      </c>
      <c r="H1882" s="4" t="s">
        <v>11</v>
      </c>
      <c r="I1882" s="5">
        <v>0</v>
      </c>
      <c r="J1882" s="4">
        <v>45916.294918981483</v>
      </c>
    </row>
    <row r="1883" spans="1:10" x14ac:dyDescent="0.2">
      <c r="A1883" s="2" t="s">
        <v>10</v>
      </c>
      <c r="B1883" s="3" t="str">
        <f t="shared" si="39"/>
        <v>France - HCP Survey Email - June 2025</v>
      </c>
      <c r="C1883" s="3" t="str">
        <f>HYPERLINK("https://otsuka-europe-crm.veevavault.com/ui/#object/sent_email__v/VBLZ025E82GNOIC", "SE-000273531")</f>
        <v>SE-000273531</v>
      </c>
      <c r="D1883" s="4" t="s">
        <v>11</v>
      </c>
      <c r="E1883" s="5">
        <v>0</v>
      </c>
      <c r="F1883" s="5">
        <v>0</v>
      </c>
      <c r="G1883" s="5">
        <v>0</v>
      </c>
      <c r="H1883" s="4" t="s">
        <v>11</v>
      </c>
      <c r="I1883" s="5">
        <v>0</v>
      </c>
      <c r="J1883" s="4">
        <v>45916.294606481482</v>
      </c>
    </row>
    <row r="1884" spans="1:10" x14ac:dyDescent="0.2">
      <c r="A1884" s="2" t="s">
        <v>10</v>
      </c>
      <c r="B1884" s="3" t="str">
        <f t="shared" si="39"/>
        <v>France - HCP Survey Email - June 2025</v>
      </c>
      <c r="C1884" s="3" t="str">
        <f>HYPERLINK("https://otsuka-europe-crm.veevavault.com/ui/#object/sent_email__v/VBLZ025E82GNOID", "SE-000273532")</f>
        <v>SE-000273532</v>
      </c>
      <c r="D1884" s="4" t="s">
        <v>11</v>
      </c>
      <c r="E1884" s="5">
        <v>0</v>
      </c>
      <c r="F1884" s="5">
        <v>0</v>
      </c>
      <c r="G1884" s="5">
        <v>0</v>
      </c>
      <c r="H1884" s="4" t="s">
        <v>11</v>
      </c>
      <c r="I1884" s="5">
        <v>0</v>
      </c>
      <c r="J1884" s="4">
        <v>45916.294374999998</v>
      </c>
    </row>
    <row r="1885" spans="1:10" x14ac:dyDescent="0.2">
      <c r="A1885" s="2" t="s">
        <v>10</v>
      </c>
      <c r="B1885" s="3" t="str">
        <f t="shared" si="39"/>
        <v>France - HCP Survey Email - June 2025</v>
      </c>
      <c r="C1885" s="3" t="str">
        <f>HYPERLINK("https://otsuka-europe-crm.veevavault.com/ui/#object/sent_email__v/VBLZ025E82GNOIE", "SE-000273533")</f>
        <v>SE-000273533</v>
      </c>
      <c r="D1885" s="4">
        <v>45916.930891203701</v>
      </c>
      <c r="E1885" s="5">
        <v>1</v>
      </c>
      <c r="F1885" s="5">
        <v>3</v>
      </c>
      <c r="G1885" s="5">
        <v>0</v>
      </c>
      <c r="H1885" s="4" t="s">
        <v>11</v>
      </c>
      <c r="I1885" s="5">
        <v>0</v>
      </c>
      <c r="J1885" s="4">
        <v>45916.294965277775</v>
      </c>
    </row>
    <row r="1886" spans="1:10" x14ac:dyDescent="0.2">
      <c r="A1886" s="2" t="s">
        <v>10</v>
      </c>
      <c r="B1886" s="3" t="str">
        <f t="shared" si="39"/>
        <v>France - HCP Survey Email - June 2025</v>
      </c>
      <c r="C1886" s="3" t="str">
        <f>HYPERLINK("https://otsuka-europe-crm.veevavault.com/ui/#object/sent_email__v/VBLZ025E82GNOIF", "SE-000273534")</f>
        <v>SE-000273534</v>
      </c>
      <c r="D1886" s="4" t="s">
        <v>11</v>
      </c>
      <c r="E1886" s="5">
        <v>0</v>
      </c>
      <c r="F1886" s="5">
        <v>0</v>
      </c>
      <c r="G1886" s="5">
        <v>0</v>
      </c>
      <c r="H1886" s="4" t="s">
        <v>11</v>
      </c>
      <c r="I1886" s="5">
        <v>0</v>
      </c>
      <c r="J1886" s="4">
        <v>45916.294652777775</v>
      </c>
    </row>
    <row r="1887" spans="1:10" x14ac:dyDescent="0.2">
      <c r="A1887" s="2" t="s">
        <v>10</v>
      </c>
      <c r="B1887" s="3" t="str">
        <f t="shared" si="39"/>
        <v>France - HCP Survey Email - June 2025</v>
      </c>
      <c r="C1887" s="3" t="str">
        <f>HYPERLINK("https://otsuka-europe-crm.veevavault.com/ui/#object/sent_email__v/VBLZ025E82GNOIG", "SE-000273535")</f>
        <v>SE-000273535</v>
      </c>
      <c r="D1887" s="4" t="s">
        <v>11</v>
      </c>
      <c r="E1887" s="5">
        <v>0</v>
      </c>
      <c r="F1887" s="5">
        <v>0</v>
      </c>
      <c r="G1887" s="5">
        <v>0</v>
      </c>
      <c r="H1887" s="4" t="s">
        <v>11</v>
      </c>
      <c r="I1887" s="5">
        <v>0</v>
      </c>
      <c r="J1887" s="4">
        <v>45916.294525462959</v>
      </c>
    </row>
    <row r="1888" spans="1:10" x14ac:dyDescent="0.2">
      <c r="A1888" s="2" t="s">
        <v>10</v>
      </c>
      <c r="B1888" s="3" t="str">
        <f t="shared" si="39"/>
        <v>France - HCP Survey Email - June 2025</v>
      </c>
      <c r="C1888" s="3" t="str">
        <f>HYPERLINK("https://otsuka-europe-crm.veevavault.com/ui/#object/sent_email__v/VBLZ025E82GNOIH", "SE-000273536")</f>
        <v>SE-000273536</v>
      </c>
      <c r="D1888" s="4" t="s">
        <v>11</v>
      </c>
      <c r="E1888" s="5">
        <v>0</v>
      </c>
      <c r="F1888" s="5">
        <v>0</v>
      </c>
      <c r="G1888" s="5">
        <v>0</v>
      </c>
      <c r="H1888" s="4" t="s">
        <v>11</v>
      </c>
      <c r="I1888" s="5">
        <v>0</v>
      </c>
      <c r="J1888" s="4">
        <v>45916.294317129628</v>
      </c>
    </row>
    <row r="1889" spans="1:10" x14ac:dyDescent="0.2">
      <c r="A1889" s="2" t="s">
        <v>10</v>
      </c>
      <c r="B1889" s="3" t="str">
        <f t="shared" si="39"/>
        <v>France - HCP Survey Email - June 2025</v>
      </c>
      <c r="C1889" s="3" t="str">
        <f>HYPERLINK("https://otsuka-europe-crm.veevavault.com/ui/#object/sent_email__v/VBLZ025E82GNOII", "SE-000273537")</f>
        <v>SE-000273537</v>
      </c>
      <c r="D1889" s="4" t="s">
        <v>11</v>
      </c>
      <c r="E1889" s="5">
        <v>0</v>
      </c>
      <c r="F1889" s="5">
        <v>0</v>
      </c>
      <c r="G1889" s="5">
        <v>0</v>
      </c>
      <c r="H1889" s="4" t="s">
        <v>11</v>
      </c>
      <c r="I1889" s="5">
        <v>0</v>
      </c>
      <c r="J1889" s="4">
        <v>45916.294895833336</v>
      </c>
    </row>
    <row r="1890" spans="1:10" x14ac:dyDescent="0.2">
      <c r="A1890" s="2" t="s">
        <v>10</v>
      </c>
      <c r="B1890" s="3" t="str">
        <f t="shared" si="39"/>
        <v>France - HCP Survey Email - June 2025</v>
      </c>
      <c r="C1890" s="3" t="str">
        <f>HYPERLINK("https://otsuka-europe-crm.veevavault.com/ui/#object/sent_email__v/VBLZ025E82GNOIJ", "SE-000273538")</f>
        <v>SE-000273538</v>
      </c>
      <c r="D1890" s="4">
        <v>45923.371759259258</v>
      </c>
      <c r="E1890" s="5">
        <v>1</v>
      </c>
      <c r="F1890" s="5">
        <v>1</v>
      </c>
      <c r="G1890" s="5">
        <v>0</v>
      </c>
      <c r="H1890" s="4" t="s">
        <v>11</v>
      </c>
      <c r="I1890" s="5">
        <v>0</v>
      </c>
      <c r="J1890" s="4">
        <v>45916.294675925928</v>
      </c>
    </row>
    <row r="1891" spans="1:10" x14ac:dyDescent="0.2">
      <c r="A1891" s="2" t="s">
        <v>10</v>
      </c>
      <c r="B1891" s="3" t="str">
        <f t="shared" si="39"/>
        <v>France - HCP Survey Email - June 2025</v>
      </c>
      <c r="C1891" s="3" t="str">
        <f>HYPERLINK("https://otsuka-europe-crm.veevavault.com/ui/#object/sent_email__v/VBLZ025E82GNOIK", "SE-000273539")</f>
        <v>SE-000273539</v>
      </c>
      <c r="D1891" s="4" t="s">
        <v>11</v>
      </c>
      <c r="E1891" s="5">
        <v>0</v>
      </c>
      <c r="F1891" s="5">
        <v>0</v>
      </c>
      <c r="G1891" s="5">
        <v>0</v>
      </c>
      <c r="H1891" s="4" t="s">
        <v>11</v>
      </c>
      <c r="I1891" s="5">
        <v>0</v>
      </c>
      <c r="J1891" s="4">
        <v>45916.294490740744</v>
      </c>
    </row>
    <row r="1892" spans="1:10" x14ac:dyDescent="0.2">
      <c r="A1892" s="2" t="s">
        <v>10</v>
      </c>
      <c r="B1892" s="3" t="str">
        <f t="shared" si="39"/>
        <v>France - HCP Survey Email - June 2025</v>
      </c>
      <c r="C1892" s="3" t="str">
        <f>HYPERLINK("https://otsuka-europe-crm.veevavault.com/ui/#object/sent_email__v/VBLZ025E82GNOIL", "SE-000273540")</f>
        <v>SE-000273540</v>
      </c>
      <c r="D1892" s="4">
        <v>45916.330706018518</v>
      </c>
      <c r="E1892" s="5">
        <v>1</v>
      </c>
      <c r="F1892" s="5">
        <v>1</v>
      </c>
      <c r="G1892" s="5">
        <v>1</v>
      </c>
      <c r="H1892" s="4">
        <v>45916.330706018518</v>
      </c>
      <c r="I1892" s="5">
        <v>1</v>
      </c>
      <c r="J1892" s="4">
        <v>45916.294236111113</v>
      </c>
    </row>
    <row r="1893" spans="1:10" x14ac:dyDescent="0.2">
      <c r="A1893" s="2" t="s">
        <v>10</v>
      </c>
      <c r="B1893" s="3" t="str">
        <f t="shared" si="39"/>
        <v>France - HCP Survey Email - June 2025</v>
      </c>
      <c r="C1893" s="3" t="str">
        <f>HYPERLINK("https://otsuka-europe-crm.veevavault.com/ui/#object/sent_email__v/VBLZ025E82GNOIM", "SE-000273541")</f>
        <v>SE-000273541</v>
      </c>
      <c r="D1893" s="4" t="s">
        <v>11</v>
      </c>
      <c r="E1893" s="5">
        <v>0</v>
      </c>
      <c r="F1893" s="5">
        <v>0</v>
      </c>
      <c r="G1893" s="5">
        <v>0</v>
      </c>
      <c r="H1893" s="4" t="s">
        <v>11</v>
      </c>
      <c r="I1893" s="5">
        <v>0</v>
      </c>
      <c r="J1893" s="4">
        <v>45916.29488425926</v>
      </c>
    </row>
    <row r="1894" spans="1:10" x14ac:dyDescent="0.2">
      <c r="A1894" s="2" t="s">
        <v>10</v>
      </c>
      <c r="B1894" s="3" t="str">
        <f t="shared" si="39"/>
        <v>France - HCP Survey Email - June 2025</v>
      </c>
      <c r="C1894" s="3" t="str">
        <f>HYPERLINK("https://otsuka-europe-crm.veevavault.com/ui/#object/sent_email__v/VBLZ025E82GNOIO", "SE-000273543")</f>
        <v>SE-000273543</v>
      </c>
      <c r="D1894" s="4">
        <v>45935.217627314814</v>
      </c>
      <c r="E1894" s="5">
        <v>1</v>
      </c>
      <c r="F1894" s="5">
        <v>7</v>
      </c>
      <c r="G1894" s="5">
        <v>0</v>
      </c>
      <c r="H1894" s="4" t="s">
        <v>11</v>
      </c>
      <c r="I1894" s="5">
        <v>0</v>
      </c>
      <c r="J1894" s="4">
        <v>45916.294409722221</v>
      </c>
    </row>
    <row r="1895" spans="1:10" x14ac:dyDescent="0.2">
      <c r="A1895" s="2" t="s">
        <v>10</v>
      </c>
      <c r="B1895" s="3" t="str">
        <f t="shared" si="39"/>
        <v>France - HCP Survey Email - June 2025</v>
      </c>
      <c r="C1895" s="3" t="str">
        <f>HYPERLINK("https://otsuka-europe-crm.veevavault.com/ui/#object/sent_email__v/VBLZ025E82GNOIP", "SE-000273544")</f>
        <v>SE-000273544</v>
      </c>
      <c r="D1895" s="4" t="s">
        <v>11</v>
      </c>
      <c r="E1895" s="5">
        <v>0</v>
      </c>
      <c r="F1895" s="5">
        <v>0</v>
      </c>
      <c r="G1895" s="5">
        <v>0</v>
      </c>
      <c r="H1895" s="4" t="s">
        <v>11</v>
      </c>
      <c r="I1895" s="5">
        <v>0</v>
      </c>
      <c r="J1895" s="4">
        <v>45916.294270833336</v>
      </c>
    </row>
    <row r="1896" spans="1:10" x14ac:dyDescent="0.2">
      <c r="A1896" s="2" t="s">
        <v>10</v>
      </c>
      <c r="B1896" s="3" t="str">
        <f t="shared" si="39"/>
        <v>France - HCP Survey Email - June 2025</v>
      </c>
      <c r="C1896" s="3" t="str">
        <f>HYPERLINK("https://otsuka-europe-crm.veevavault.com/ui/#object/sent_email__v/VBLZ025E82GNOIQ", "SE-000273545")</f>
        <v>SE-000273545</v>
      </c>
      <c r="D1896" s="4" t="s">
        <v>11</v>
      </c>
      <c r="E1896" s="5">
        <v>0</v>
      </c>
      <c r="F1896" s="5">
        <v>0</v>
      </c>
      <c r="G1896" s="5">
        <v>0</v>
      </c>
      <c r="H1896" s="4" t="s">
        <v>11</v>
      </c>
      <c r="I1896" s="5">
        <v>0</v>
      </c>
      <c r="J1896" s="4">
        <v>45916.294942129629</v>
      </c>
    </row>
    <row r="1897" spans="1:10" x14ac:dyDescent="0.2">
      <c r="A1897" s="2" t="s">
        <v>10</v>
      </c>
      <c r="B1897" s="3" t="str">
        <f t="shared" si="39"/>
        <v>France - HCP Survey Email - June 2025</v>
      </c>
      <c r="C1897" s="3" t="str">
        <f>HYPERLINK("https://otsuka-europe-crm.veevavault.com/ui/#object/sent_email__v/VBLZ025E82GNOIR", "SE-000273546")</f>
        <v>SE-000273546</v>
      </c>
      <c r="D1897" s="4">
        <v>45916.311712962961</v>
      </c>
      <c r="E1897" s="5">
        <v>1</v>
      </c>
      <c r="F1897" s="5">
        <v>1</v>
      </c>
      <c r="G1897" s="5">
        <v>0</v>
      </c>
      <c r="H1897" s="4" t="s">
        <v>11</v>
      </c>
      <c r="I1897" s="5">
        <v>0</v>
      </c>
      <c r="J1897" s="4">
        <v>45916.294525462959</v>
      </c>
    </row>
    <row r="1898" spans="1:10" x14ac:dyDescent="0.2">
      <c r="A1898" s="2" t="s">
        <v>10</v>
      </c>
      <c r="B1898" s="3" t="str">
        <f t="shared" si="39"/>
        <v>France - HCP Survey Email - June 2025</v>
      </c>
      <c r="C1898" s="3" t="str">
        <f>HYPERLINK("https://otsuka-europe-crm.veevavault.com/ui/#object/sent_email__v/VBLZ025E82GNOIT", "SE-000273548")</f>
        <v>SE-000273548</v>
      </c>
      <c r="D1898" s="4">
        <v>45916.32130787037</v>
      </c>
      <c r="E1898" s="5">
        <v>1</v>
      </c>
      <c r="F1898" s="5">
        <v>1</v>
      </c>
      <c r="G1898" s="5">
        <v>0</v>
      </c>
      <c r="H1898" s="4" t="s">
        <v>11</v>
      </c>
      <c r="I1898" s="5">
        <v>0</v>
      </c>
      <c r="J1898" s="4">
        <v>45916.294976851852</v>
      </c>
    </row>
    <row r="1899" spans="1:10" x14ac:dyDescent="0.2">
      <c r="A1899" s="2" t="s">
        <v>10</v>
      </c>
      <c r="B1899" s="3" t="str">
        <f t="shared" si="39"/>
        <v>France - HCP Survey Email - June 2025</v>
      </c>
      <c r="C1899" s="3" t="str">
        <f>HYPERLINK("https://otsuka-europe-crm.veevavault.com/ui/#object/sent_email__v/VBLZ025E82GNOIU", "SE-000273549")</f>
        <v>SE-000273549</v>
      </c>
      <c r="D1899" s="4">
        <v>45916.553206018521</v>
      </c>
      <c r="E1899" s="5">
        <v>1</v>
      </c>
      <c r="F1899" s="5">
        <v>2</v>
      </c>
      <c r="G1899" s="5">
        <v>0</v>
      </c>
      <c r="H1899" s="4" t="s">
        <v>11</v>
      </c>
      <c r="I1899" s="5">
        <v>0</v>
      </c>
      <c r="J1899" s="4">
        <v>45916.294699074075</v>
      </c>
    </row>
    <row r="1900" spans="1:10" x14ac:dyDescent="0.2">
      <c r="A1900" s="2" t="s">
        <v>10</v>
      </c>
      <c r="B1900" s="3" t="str">
        <f t="shared" si="39"/>
        <v>France - HCP Survey Email - June 2025</v>
      </c>
      <c r="C1900" s="3" t="str">
        <f>HYPERLINK("https://otsuka-europe-crm.veevavault.com/ui/#object/sent_email__v/VBLZ025E82GNOIW", "SE-000273551")</f>
        <v>SE-000273551</v>
      </c>
      <c r="D1900" s="4" t="s">
        <v>11</v>
      </c>
      <c r="E1900" s="5">
        <v>0</v>
      </c>
      <c r="F1900" s="5">
        <v>0</v>
      </c>
      <c r="G1900" s="5">
        <v>0</v>
      </c>
      <c r="H1900" s="4" t="s">
        <v>11</v>
      </c>
      <c r="I1900" s="5">
        <v>0</v>
      </c>
      <c r="J1900" s="4">
        <v>45916.294224537036</v>
      </c>
    </row>
    <row r="1901" spans="1:10" x14ac:dyDescent="0.2">
      <c r="A1901" s="2" t="s">
        <v>10</v>
      </c>
      <c r="B1901" s="3" t="str">
        <f t="shared" si="39"/>
        <v>France - HCP Survey Email - June 2025</v>
      </c>
      <c r="C1901" s="3" t="str">
        <f>HYPERLINK("https://otsuka-europe-crm.veevavault.com/ui/#object/sent_email__v/VBLZ025E82GNOIX", "SE-000273552")</f>
        <v>SE-000273552</v>
      </c>
      <c r="D1901" s="4" t="s">
        <v>11</v>
      </c>
      <c r="E1901" s="5">
        <v>0</v>
      </c>
      <c r="F1901" s="5">
        <v>0</v>
      </c>
      <c r="G1901" s="5">
        <v>0</v>
      </c>
      <c r="H1901" s="4" t="s">
        <v>11</v>
      </c>
      <c r="I1901" s="5">
        <v>0</v>
      </c>
      <c r="J1901" s="4">
        <v>45916.29488425926</v>
      </c>
    </row>
    <row r="1902" spans="1:10" x14ac:dyDescent="0.2">
      <c r="A1902" s="2" t="s">
        <v>10</v>
      </c>
      <c r="B1902" s="3" t="str">
        <f t="shared" si="39"/>
        <v>France - HCP Survey Email - June 2025</v>
      </c>
      <c r="C1902" s="3" t="str">
        <f>HYPERLINK("https://otsuka-europe-crm.veevavault.com/ui/#object/sent_email__v/VBLZ025E82GNOIY", "SE-000273553")</f>
        <v>SE-000273553</v>
      </c>
      <c r="D1902" s="4" t="s">
        <v>11</v>
      </c>
      <c r="E1902" s="5">
        <v>0</v>
      </c>
      <c r="F1902" s="5">
        <v>0</v>
      </c>
      <c r="G1902" s="5">
        <v>0</v>
      </c>
      <c r="H1902" s="4" t="s">
        <v>11</v>
      </c>
      <c r="I1902" s="5">
        <v>0</v>
      </c>
      <c r="J1902" s="4">
        <v>45916.294699074075</v>
      </c>
    </row>
    <row r="1903" spans="1:10" x14ac:dyDescent="0.2">
      <c r="A1903" s="2" t="s">
        <v>10</v>
      </c>
      <c r="B1903" s="3" t="str">
        <f t="shared" si="39"/>
        <v>France - HCP Survey Email - June 2025</v>
      </c>
      <c r="C1903" s="3" t="str">
        <f>HYPERLINK("https://otsuka-europe-crm.veevavault.com/ui/#object/sent_email__v/VBLZ025E82GNOIZ", "SE-000273554")</f>
        <v>SE-000273554</v>
      </c>
      <c r="D1903" s="4">
        <v>45917.440243055556</v>
      </c>
      <c r="E1903" s="5">
        <v>1</v>
      </c>
      <c r="F1903" s="5">
        <v>2</v>
      </c>
      <c r="G1903" s="5">
        <v>0</v>
      </c>
      <c r="H1903" s="4" t="s">
        <v>11</v>
      </c>
      <c r="I1903" s="5">
        <v>0</v>
      </c>
      <c r="J1903" s="4">
        <v>45916.294432870367</v>
      </c>
    </row>
    <row r="1904" spans="1:10" x14ac:dyDescent="0.2">
      <c r="A1904" s="2" t="s">
        <v>10</v>
      </c>
      <c r="B1904" s="3" t="str">
        <f t="shared" si="39"/>
        <v>France - HCP Survey Email - June 2025</v>
      </c>
      <c r="C1904" s="3" t="str">
        <f>HYPERLINK("https://otsuka-europe-crm.veevavault.com/ui/#object/sent_email__v/VBLZ025E82GNOJ0", "SE-000273555")</f>
        <v>SE-000273555</v>
      </c>
      <c r="D1904" s="4">
        <v>45920.489027777781</v>
      </c>
      <c r="E1904" s="5">
        <v>1</v>
      </c>
      <c r="F1904" s="5">
        <v>1</v>
      </c>
      <c r="G1904" s="5">
        <v>0</v>
      </c>
      <c r="H1904" s="4" t="s">
        <v>11</v>
      </c>
      <c r="I1904" s="5">
        <v>0</v>
      </c>
      <c r="J1904" s="4">
        <v>45916.294270833336</v>
      </c>
    </row>
    <row r="1905" spans="1:10" x14ac:dyDescent="0.2">
      <c r="A1905" s="2" t="s">
        <v>10</v>
      </c>
      <c r="B1905" s="3" t="str">
        <f t="shared" si="39"/>
        <v>France - HCP Survey Email - June 2025</v>
      </c>
      <c r="C1905" s="3" t="str">
        <f>HYPERLINK("https://otsuka-europe-crm.veevavault.com/ui/#object/sent_email__v/VBLZ025E82GNOJ1", "SE-000273556")</f>
        <v>SE-000273556</v>
      </c>
      <c r="D1905" s="4" t="s">
        <v>11</v>
      </c>
      <c r="E1905" s="5">
        <v>0</v>
      </c>
      <c r="F1905" s="5">
        <v>0</v>
      </c>
      <c r="G1905" s="5">
        <v>0</v>
      </c>
      <c r="H1905" s="4" t="s">
        <v>11</v>
      </c>
      <c r="I1905" s="5">
        <v>0</v>
      </c>
      <c r="J1905" s="4">
        <v>45916.294803240744</v>
      </c>
    </row>
    <row r="1906" spans="1:10" x14ac:dyDescent="0.2">
      <c r="A1906" s="2" t="s">
        <v>10</v>
      </c>
      <c r="B1906" s="3" t="str">
        <f t="shared" si="39"/>
        <v>France - HCP Survey Email - June 2025</v>
      </c>
      <c r="C1906" s="3" t="str">
        <f>HYPERLINK("https://otsuka-europe-crm.veevavault.com/ui/#object/sent_email__v/VBLZ025E82GNOJ2", "SE-000273557")</f>
        <v>SE-000273557</v>
      </c>
      <c r="D1906" s="4">
        <v>45916.294895833336</v>
      </c>
      <c r="E1906" s="5">
        <v>1</v>
      </c>
      <c r="F1906" s="5">
        <v>2</v>
      </c>
      <c r="G1906" s="5">
        <v>1</v>
      </c>
      <c r="H1906" s="4">
        <v>45916.294895833336</v>
      </c>
      <c r="I1906" s="5">
        <v>2</v>
      </c>
      <c r="J1906" s="4">
        <v>45916.29451388889</v>
      </c>
    </row>
    <row r="1907" spans="1:10" x14ac:dyDescent="0.2">
      <c r="A1907" s="2" t="s">
        <v>10</v>
      </c>
      <c r="B1907" s="3" t="str">
        <f t="shared" si="39"/>
        <v>France - HCP Survey Email - June 2025</v>
      </c>
      <c r="C1907" s="3" t="str">
        <f>HYPERLINK("https://otsuka-europe-crm.veevavault.com/ui/#object/sent_email__v/VBLZ025E82GNOJ3", "SE-000273558")</f>
        <v>SE-000273558</v>
      </c>
      <c r="D1907" s="4" t="s">
        <v>11</v>
      </c>
      <c r="E1907" s="5">
        <v>0</v>
      </c>
      <c r="F1907" s="5">
        <v>0</v>
      </c>
      <c r="G1907" s="5">
        <v>0</v>
      </c>
      <c r="H1907" s="4" t="s">
        <v>11</v>
      </c>
      <c r="I1907" s="5">
        <v>0</v>
      </c>
      <c r="J1907" s="4">
        <v>45916.294282407405</v>
      </c>
    </row>
    <row r="1908" spans="1:10" x14ac:dyDescent="0.2">
      <c r="A1908" s="2" t="s">
        <v>10</v>
      </c>
      <c r="B1908" s="3" t="str">
        <f t="shared" si="39"/>
        <v>France - HCP Survey Email - June 2025</v>
      </c>
      <c r="C1908" s="3" t="str">
        <f>HYPERLINK("https://otsuka-europe-crm.veevavault.com/ui/#object/sent_email__v/VBLZ025E82GNOJ4", "SE-000273559")</f>
        <v>SE-000273559</v>
      </c>
      <c r="D1908" s="4" t="s">
        <v>11</v>
      </c>
      <c r="E1908" s="5">
        <v>0</v>
      </c>
      <c r="F1908" s="5">
        <v>0</v>
      </c>
      <c r="G1908" s="5">
        <v>0</v>
      </c>
      <c r="H1908" s="4" t="s">
        <v>11</v>
      </c>
      <c r="I1908" s="5">
        <v>0</v>
      </c>
      <c r="J1908" s="4">
        <v>45916.294907407406</v>
      </c>
    </row>
    <row r="1909" spans="1:10" x14ac:dyDescent="0.2">
      <c r="A1909" s="2" t="s">
        <v>10</v>
      </c>
      <c r="B1909" s="3" t="str">
        <f t="shared" si="39"/>
        <v>France - HCP Survey Email - June 2025</v>
      </c>
      <c r="C1909" s="3" t="str">
        <f>HYPERLINK("https://otsuka-europe-crm.veevavault.com/ui/#object/sent_email__v/VBLZ025E82GNOJ5", "SE-000273560")</f>
        <v>SE-000273560</v>
      </c>
      <c r="D1909" s="4">
        <v>45916.484166666669</v>
      </c>
      <c r="E1909" s="5">
        <v>1</v>
      </c>
      <c r="F1909" s="5">
        <v>2</v>
      </c>
      <c r="G1909" s="5">
        <v>0</v>
      </c>
      <c r="H1909" s="4" t="s">
        <v>11</v>
      </c>
      <c r="I1909" s="5">
        <v>0</v>
      </c>
      <c r="J1909" s="4">
        <v>45916.294675925928</v>
      </c>
    </row>
    <row r="1910" spans="1:10" x14ac:dyDescent="0.2">
      <c r="A1910" s="2" t="s">
        <v>10</v>
      </c>
      <c r="B1910" s="3" t="str">
        <f t="shared" si="39"/>
        <v>France - HCP Survey Email - June 2025</v>
      </c>
      <c r="C1910" s="3" t="str">
        <f>HYPERLINK("https://otsuka-europe-crm.veevavault.com/ui/#object/sent_email__v/VBLZ025E82GNOJ6", "SE-000273561")</f>
        <v>SE-000273561</v>
      </c>
      <c r="D1910" s="4" t="s">
        <v>11</v>
      </c>
      <c r="E1910" s="5">
        <v>0</v>
      </c>
      <c r="F1910" s="5">
        <v>0</v>
      </c>
      <c r="G1910" s="5">
        <v>0</v>
      </c>
      <c r="H1910" s="4" t="s">
        <v>11</v>
      </c>
      <c r="I1910" s="5">
        <v>0</v>
      </c>
      <c r="J1910" s="4">
        <v>45916.29482638889</v>
      </c>
    </row>
    <row r="1911" spans="1:10" x14ac:dyDescent="0.2">
      <c r="A1911" s="2" t="s">
        <v>10</v>
      </c>
      <c r="B1911" s="3" t="str">
        <f t="shared" si="39"/>
        <v>France - HCP Survey Email - June 2025</v>
      </c>
      <c r="C1911" s="3" t="str">
        <f>HYPERLINK("https://otsuka-europe-crm.veevavault.com/ui/#object/sent_email__v/VBLZ025E82GNOJ7", "SE-000273562")</f>
        <v>SE-000273562</v>
      </c>
      <c r="D1911" s="4" t="s">
        <v>11</v>
      </c>
      <c r="E1911" s="5">
        <v>0</v>
      </c>
      <c r="F1911" s="5">
        <v>0</v>
      </c>
      <c r="G1911" s="5">
        <v>0</v>
      </c>
      <c r="H1911" s="4" t="s">
        <v>11</v>
      </c>
      <c r="I1911" s="5">
        <v>0</v>
      </c>
      <c r="J1911" s="4">
        <v>45916.294525462959</v>
      </c>
    </row>
    <row r="1912" spans="1:10" x14ac:dyDescent="0.2">
      <c r="A1912" s="2" t="s">
        <v>10</v>
      </c>
      <c r="B1912" s="3" t="str">
        <f t="shared" si="39"/>
        <v>France - HCP Survey Email - June 2025</v>
      </c>
      <c r="C1912" s="3" t="str">
        <f>HYPERLINK("https://otsuka-europe-crm.veevavault.com/ui/#object/sent_email__v/VBLZ025E82GNOJ8", "SE-000273563")</f>
        <v>SE-000273563</v>
      </c>
      <c r="D1912" s="4" t="s">
        <v>11</v>
      </c>
      <c r="E1912" s="5">
        <v>0</v>
      </c>
      <c r="F1912" s="5">
        <v>0</v>
      </c>
      <c r="G1912" s="5">
        <v>0</v>
      </c>
      <c r="H1912" s="4" t="s">
        <v>11</v>
      </c>
      <c r="I1912" s="5">
        <v>0</v>
      </c>
      <c r="J1912" s="4">
        <v>45916.294236111113</v>
      </c>
    </row>
    <row r="1913" spans="1:10" x14ac:dyDescent="0.2">
      <c r="A1913" s="2" t="s">
        <v>10</v>
      </c>
      <c r="B1913" s="3" t="str">
        <f t="shared" si="39"/>
        <v>France - HCP Survey Email - June 2025</v>
      </c>
      <c r="C1913" s="3" t="str">
        <f>HYPERLINK("https://otsuka-europe-crm.veevavault.com/ui/#object/sent_email__v/VBLZ025E82GNOJ9", "SE-000273564")</f>
        <v>SE-000273564</v>
      </c>
      <c r="D1913" s="4" t="s">
        <v>11</v>
      </c>
      <c r="E1913" s="5">
        <v>0</v>
      </c>
      <c r="F1913" s="5">
        <v>0</v>
      </c>
      <c r="G1913" s="5">
        <v>0</v>
      </c>
      <c r="H1913" s="4" t="s">
        <v>11</v>
      </c>
      <c r="I1913" s="5">
        <v>0</v>
      </c>
      <c r="J1913" s="4">
        <v>45916.294965277775</v>
      </c>
    </row>
    <row r="1914" spans="1:10" x14ac:dyDescent="0.2">
      <c r="A1914" s="2" t="s">
        <v>10</v>
      </c>
      <c r="B1914" s="3" t="str">
        <f t="shared" si="39"/>
        <v>France - HCP Survey Email - June 2025</v>
      </c>
      <c r="C1914" s="3" t="str">
        <f>HYPERLINK("https://otsuka-europe-crm.veevavault.com/ui/#object/sent_email__v/VBLZ025E82GNOJA", "SE-000273565")</f>
        <v>SE-000273565</v>
      </c>
      <c r="D1914" s="4">
        <v>45916.300775462965</v>
      </c>
      <c r="E1914" s="5">
        <v>1</v>
      </c>
      <c r="F1914" s="5">
        <v>1</v>
      </c>
      <c r="G1914" s="5">
        <v>0</v>
      </c>
      <c r="H1914" s="4" t="s">
        <v>11</v>
      </c>
      <c r="I1914" s="5">
        <v>0</v>
      </c>
      <c r="J1914" s="4">
        <v>45916.294733796298</v>
      </c>
    </row>
    <row r="1915" spans="1:10" x14ac:dyDescent="0.2">
      <c r="A1915" s="2" t="s">
        <v>10</v>
      </c>
      <c r="B1915" s="3" t="str">
        <f t="shared" si="39"/>
        <v>France - HCP Survey Email - June 2025</v>
      </c>
      <c r="C1915" s="3" t="str">
        <f>HYPERLINK("https://otsuka-europe-crm.veevavault.com/ui/#object/sent_email__v/VBLZ025E82GNOJC", "SE-000273567")</f>
        <v>SE-000273567</v>
      </c>
      <c r="D1915" s="4">
        <v>45918.549930555557</v>
      </c>
      <c r="E1915" s="5">
        <v>1</v>
      </c>
      <c r="F1915" s="5">
        <v>1</v>
      </c>
      <c r="G1915" s="5">
        <v>0</v>
      </c>
      <c r="H1915" s="4" t="s">
        <v>11</v>
      </c>
      <c r="I1915" s="5">
        <v>0</v>
      </c>
      <c r="J1915" s="4">
        <v>45916.294247685182</v>
      </c>
    </row>
    <row r="1916" spans="1:10" x14ac:dyDescent="0.2">
      <c r="A1916" s="2" t="s">
        <v>10</v>
      </c>
      <c r="B1916" s="3" t="str">
        <f t="shared" si="39"/>
        <v>France - HCP Survey Email - June 2025</v>
      </c>
      <c r="C1916" s="3" t="str">
        <f>HYPERLINK("https://otsuka-europe-crm.veevavault.com/ui/#object/sent_email__v/VBLZ025E82GNOJD", "SE-000273568")</f>
        <v>SE-000273568</v>
      </c>
      <c r="D1916" s="4">
        <v>45916.480358796296</v>
      </c>
      <c r="E1916" s="5">
        <v>1</v>
      </c>
      <c r="F1916" s="5">
        <v>2</v>
      </c>
      <c r="G1916" s="5">
        <v>0</v>
      </c>
      <c r="H1916" s="4" t="s">
        <v>11</v>
      </c>
      <c r="I1916" s="5">
        <v>0</v>
      </c>
      <c r="J1916" s="4">
        <v>45916.294930555552</v>
      </c>
    </row>
    <row r="1917" spans="1:10" x14ac:dyDescent="0.2">
      <c r="A1917" s="2" t="s">
        <v>10</v>
      </c>
      <c r="B1917" s="3" t="str">
        <f t="shared" si="39"/>
        <v>France - HCP Survey Email - June 2025</v>
      </c>
      <c r="C1917" s="3" t="str">
        <f>HYPERLINK("https://otsuka-europe-crm.veevavault.com/ui/#object/sent_email__v/VBLZ025E82GNOJE", "SE-000273569")</f>
        <v>SE-000273569</v>
      </c>
      <c r="D1917" s="4" t="s">
        <v>11</v>
      </c>
      <c r="E1917" s="5">
        <v>0</v>
      </c>
      <c r="F1917" s="5">
        <v>0</v>
      </c>
      <c r="G1917" s="5">
        <v>0</v>
      </c>
      <c r="H1917" s="4" t="s">
        <v>11</v>
      </c>
      <c r="I1917" s="5">
        <v>0</v>
      </c>
      <c r="J1917" s="4">
        <v>45916.294583333336</v>
      </c>
    </row>
    <row r="1918" spans="1:10" x14ac:dyDescent="0.2">
      <c r="A1918" s="2" t="s">
        <v>10</v>
      </c>
      <c r="B1918" s="3" t="str">
        <f t="shared" si="39"/>
        <v>France - HCP Survey Email - June 2025</v>
      </c>
      <c r="C1918" s="3" t="str">
        <f>HYPERLINK("https://otsuka-europe-crm.veevavault.com/ui/#object/sent_email__v/VBLZ025E82GNOJF", "SE-000273570")</f>
        <v>SE-000273570</v>
      </c>
      <c r="D1918" s="4" t="s">
        <v>11</v>
      </c>
      <c r="E1918" s="5">
        <v>0</v>
      </c>
      <c r="F1918" s="5">
        <v>0</v>
      </c>
      <c r="G1918" s="5">
        <v>0</v>
      </c>
      <c r="H1918" s="4" t="s">
        <v>11</v>
      </c>
      <c r="I1918" s="5">
        <v>0</v>
      </c>
      <c r="J1918" s="4">
        <v>45916.294444444444</v>
      </c>
    </row>
    <row r="1919" spans="1:10" x14ac:dyDescent="0.2">
      <c r="A1919" s="2" t="s">
        <v>10</v>
      </c>
      <c r="B1919" s="3" t="str">
        <f t="shared" si="39"/>
        <v>France - HCP Survey Email - June 2025</v>
      </c>
      <c r="C1919" s="3" t="str">
        <f>HYPERLINK("https://otsuka-europe-crm.veevavault.com/ui/#object/sent_email__v/VBLZ025E82GNOJG", "SE-000273571")</f>
        <v>SE-000273571</v>
      </c>
      <c r="D1919" s="4" t="s">
        <v>11</v>
      </c>
      <c r="E1919" s="5">
        <v>0</v>
      </c>
      <c r="F1919" s="5">
        <v>0</v>
      </c>
      <c r="G1919" s="5">
        <v>0</v>
      </c>
      <c r="H1919" s="4" t="s">
        <v>11</v>
      </c>
      <c r="I1919" s="5">
        <v>0</v>
      </c>
      <c r="J1919" s="4">
        <v>45916.294270833336</v>
      </c>
    </row>
    <row r="1920" spans="1:10" x14ac:dyDescent="0.2">
      <c r="A1920" s="2" t="s">
        <v>10</v>
      </c>
      <c r="B1920" s="3" t="str">
        <f t="shared" si="39"/>
        <v>France - HCP Survey Email - June 2025</v>
      </c>
      <c r="C1920" s="3" t="str">
        <f>HYPERLINK("https://otsuka-europe-crm.veevavault.com/ui/#object/sent_email__v/VBLZ025E82GNOJH", "SE-000273572")</f>
        <v>SE-000273572</v>
      </c>
      <c r="D1920" s="4">
        <v>45917.675821759258</v>
      </c>
      <c r="E1920" s="5">
        <v>1</v>
      </c>
      <c r="F1920" s="5">
        <v>1</v>
      </c>
      <c r="G1920" s="5">
        <v>0</v>
      </c>
      <c r="H1920" s="4" t="s">
        <v>11</v>
      </c>
      <c r="I1920" s="5">
        <v>0</v>
      </c>
      <c r="J1920" s="4">
        <v>45916.294733796298</v>
      </c>
    </row>
    <row r="1921" spans="1:10" x14ac:dyDescent="0.2">
      <c r="A1921" s="2" t="s">
        <v>10</v>
      </c>
      <c r="B1921" s="3" t="str">
        <f t="shared" ref="B1921:B1984" si="40">HYPERLINK("https://otsuka-europe-crm.veevavault.com/ui/#object/approved_document__v/V5OZ025E82TMV97", "France - HCP Survey Email - June 2025")</f>
        <v>France - HCP Survey Email - June 2025</v>
      </c>
      <c r="C1921" s="3" t="str">
        <f>HYPERLINK("https://otsuka-europe-crm.veevavault.com/ui/#object/sent_email__v/VBLZ025E82GNOJI", "SE-000273573")</f>
        <v>SE-000273573</v>
      </c>
      <c r="D1921" s="4" t="s">
        <v>11</v>
      </c>
      <c r="E1921" s="5">
        <v>0</v>
      </c>
      <c r="F1921" s="5">
        <v>0</v>
      </c>
      <c r="G1921" s="5">
        <v>0</v>
      </c>
      <c r="H1921" s="4" t="s">
        <v>11</v>
      </c>
      <c r="I1921" s="5">
        <v>0</v>
      </c>
      <c r="J1921" s="4">
        <v>45916.294618055559</v>
      </c>
    </row>
    <row r="1922" spans="1:10" x14ac:dyDescent="0.2">
      <c r="A1922" s="2" t="s">
        <v>10</v>
      </c>
      <c r="B1922" s="3" t="str">
        <f t="shared" si="40"/>
        <v>France - HCP Survey Email - June 2025</v>
      </c>
      <c r="C1922" s="3" t="str">
        <f>HYPERLINK("https://otsuka-europe-crm.veevavault.com/ui/#object/sent_email__v/VBLZ025E82GNOJJ", "SE-000273574")</f>
        <v>SE-000273574</v>
      </c>
      <c r="D1922" s="4">
        <v>45916.336840277778</v>
      </c>
      <c r="E1922" s="5">
        <v>1</v>
      </c>
      <c r="F1922" s="5">
        <v>2</v>
      </c>
      <c r="G1922" s="5">
        <v>0</v>
      </c>
      <c r="H1922" s="4" t="s">
        <v>11</v>
      </c>
      <c r="I1922" s="5">
        <v>0</v>
      </c>
      <c r="J1922" s="4">
        <v>45916.294236111113</v>
      </c>
    </row>
    <row r="1923" spans="1:10" x14ac:dyDescent="0.2">
      <c r="A1923" s="2" t="s">
        <v>10</v>
      </c>
      <c r="B1923" s="3" t="str">
        <f t="shared" si="40"/>
        <v>France - HCP Survey Email - June 2025</v>
      </c>
      <c r="C1923" s="3" t="str">
        <f>HYPERLINK("https://otsuka-europe-crm.veevavault.com/ui/#object/sent_email__v/VBLZ025E82GNOJK", "SE-000273575")</f>
        <v>SE-000273575</v>
      </c>
      <c r="D1923" s="4" t="s">
        <v>11</v>
      </c>
      <c r="E1923" s="5">
        <v>0</v>
      </c>
      <c r="F1923" s="5">
        <v>0</v>
      </c>
      <c r="G1923" s="5">
        <v>0</v>
      </c>
      <c r="H1923" s="4" t="s">
        <v>11</v>
      </c>
      <c r="I1923" s="5">
        <v>0</v>
      </c>
      <c r="J1923" s="4">
        <v>45916.294918981483</v>
      </c>
    </row>
    <row r="1924" spans="1:10" x14ac:dyDescent="0.2">
      <c r="A1924" s="2" t="s">
        <v>10</v>
      </c>
      <c r="B1924" s="3" t="str">
        <f t="shared" si="40"/>
        <v>France - HCP Survey Email - June 2025</v>
      </c>
      <c r="C1924" s="3" t="str">
        <f>HYPERLINK("https://otsuka-europe-crm.veevavault.com/ui/#object/sent_email__v/VBLZ025E82GNOJL", "SE-000273576")</f>
        <v>SE-000273576</v>
      </c>
      <c r="D1924" s="4" t="s">
        <v>11</v>
      </c>
      <c r="E1924" s="5">
        <v>0</v>
      </c>
      <c r="F1924" s="5">
        <v>0</v>
      </c>
      <c r="G1924" s="5">
        <v>0</v>
      </c>
      <c r="H1924" s="4" t="s">
        <v>11</v>
      </c>
      <c r="I1924" s="5">
        <v>0</v>
      </c>
      <c r="J1924" s="4">
        <v>45916.294675925928</v>
      </c>
    </row>
    <row r="1925" spans="1:10" x14ac:dyDescent="0.2">
      <c r="A1925" s="2" t="s">
        <v>10</v>
      </c>
      <c r="B1925" s="3" t="str">
        <f t="shared" si="40"/>
        <v>France - HCP Survey Email - June 2025</v>
      </c>
      <c r="C1925" s="3" t="str">
        <f>HYPERLINK("https://otsuka-europe-crm.veevavault.com/ui/#object/sent_email__v/VBLZ025E82GNOJM", "SE-000273577")</f>
        <v>SE-000273577</v>
      </c>
      <c r="D1925" s="4" t="s">
        <v>11</v>
      </c>
      <c r="E1925" s="5">
        <v>0</v>
      </c>
      <c r="F1925" s="5">
        <v>0</v>
      </c>
      <c r="G1925" s="5">
        <v>0</v>
      </c>
      <c r="H1925" s="4" t="s">
        <v>11</v>
      </c>
      <c r="I1925" s="5">
        <v>0</v>
      </c>
      <c r="J1925" s="4">
        <v>45916.294409722221</v>
      </c>
    </row>
    <row r="1926" spans="1:10" x14ac:dyDescent="0.2">
      <c r="A1926" s="2" t="s">
        <v>10</v>
      </c>
      <c r="B1926" s="3" t="str">
        <f t="shared" si="40"/>
        <v>France - HCP Survey Email - June 2025</v>
      </c>
      <c r="C1926" s="3" t="str">
        <f>HYPERLINK("https://otsuka-europe-crm.veevavault.com/ui/#object/sent_email__v/VBLZ025E82GNOJN", "SE-000273578")</f>
        <v>SE-000273578</v>
      </c>
      <c r="D1926" s="4" t="s">
        <v>11</v>
      </c>
      <c r="E1926" s="5">
        <v>0</v>
      </c>
      <c r="F1926" s="5">
        <v>0</v>
      </c>
      <c r="G1926" s="5">
        <v>0</v>
      </c>
      <c r="H1926" s="4" t="s">
        <v>11</v>
      </c>
      <c r="I1926" s="5">
        <v>0</v>
      </c>
      <c r="J1926" s="4">
        <v>45916.294259259259</v>
      </c>
    </row>
    <row r="1927" spans="1:10" x14ac:dyDescent="0.2">
      <c r="A1927" s="2" t="s">
        <v>10</v>
      </c>
      <c r="B1927" s="3" t="str">
        <f t="shared" si="40"/>
        <v>France - HCP Survey Email - June 2025</v>
      </c>
      <c r="C1927" s="3" t="str">
        <f>HYPERLINK("https://otsuka-europe-crm.veevavault.com/ui/#object/sent_email__v/VBLZ025E82GNOJO", "SE-000273579")</f>
        <v>SE-000273579</v>
      </c>
      <c r="D1927" s="4">
        <v>45916.358657407407</v>
      </c>
      <c r="E1927" s="5">
        <v>1</v>
      </c>
      <c r="F1927" s="5">
        <v>1</v>
      </c>
      <c r="G1927" s="5">
        <v>0</v>
      </c>
      <c r="H1927" s="4" t="s">
        <v>11</v>
      </c>
      <c r="I1927" s="5">
        <v>0</v>
      </c>
      <c r="J1927" s="4">
        <v>45916.294872685183</v>
      </c>
    </row>
    <row r="1928" spans="1:10" x14ac:dyDescent="0.2">
      <c r="A1928" s="2" t="s">
        <v>10</v>
      </c>
      <c r="B1928" s="3" t="str">
        <f t="shared" si="40"/>
        <v>France - HCP Survey Email - June 2025</v>
      </c>
      <c r="C1928" s="3" t="str">
        <f>HYPERLINK("https://otsuka-europe-crm.veevavault.com/ui/#object/sent_email__v/VBLZ025E82GNOJP", "SE-000273580")</f>
        <v>SE-000273580</v>
      </c>
      <c r="D1928" s="4" t="s">
        <v>11</v>
      </c>
      <c r="E1928" s="5">
        <v>0</v>
      </c>
      <c r="F1928" s="5">
        <v>0</v>
      </c>
      <c r="G1928" s="5">
        <v>0</v>
      </c>
      <c r="H1928" s="4" t="s">
        <v>11</v>
      </c>
      <c r="I1928" s="5">
        <v>0</v>
      </c>
      <c r="J1928" s="4">
        <v>45916.294537037036</v>
      </c>
    </row>
    <row r="1929" spans="1:10" x14ac:dyDescent="0.2">
      <c r="A1929" s="2" t="s">
        <v>10</v>
      </c>
      <c r="B1929" s="3" t="str">
        <f t="shared" si="40"/>
        <v>France - HCP Survey Email - June 2025</v>
      </c>
      <c r="C1929" s="3" t="str">
        <f>HYPERLINK("https://otsuka-europe-crm.veevavault.com/ui/#object/sent_email__v/VBLZ025E82GNOJQ", "SE-000273581")</f>
        <v>SE-000273581</v>
      </c>
      <c r="D1929" s="4" t="s">
        <v>11</v>
      </c>
      <c r="E1929" s="5">
        <v>0</v>
      </c>
      <c r="F1929" s="5">
        <v>0</v>
      </c>
      <c r="G1929" s="5">
        <v>0</v>
      </c>
      <c r="H1929" s="4" t="s">
        <v>11</v>
      </c>
      <c r="I1929" s="5">
        <v>0</v>
      </c>
      <c r="J1929" s="4">
        <v>45916.294432870367</v>
      </c>
    </row>
    <row r="1930" spans="1:10" x14ac:dyDescent="0.2">
      <c r="A1930" s="2" t="s">
        <v>10</v>
      </c>
      <c r="B1930" s="3" t="str">
        <f t="shared" si="40"/>
        <v>France - HCP Survey Email - June 2025</v>
      </c>
      <c r="C1930" s="3" t="str">
        <f>HYPERLINK("https://otsuka-europe-crm.veevavault.com/ui/#object/sent_email__v/VBLZ025E82GNOJR", "SE-000273582")</f>
        <v>SE-000273582</v>
      </c>
      <c r="D1930" s="4" t="s">
        <v>11</v>
      </c>
      <c r="E1930" s="5">
        <v>0</v>
      </c>
      <c r="F1930" s="5">
        <v>0</v>
      </c>
      <c r="G1930" s="5">
        <v>0</v>
      </c>
      <c r="H1930" s="4" t="s">
        <v>11</v>
      </c>
      <c r="I1930" s="5">
        <v>0</v>
      </c>
      <c r="J1930" s="4">
        <v>45916.295115740744</v>
      </c>
    </row>
    <row r="1931" spans="1:10" x14ac:dyDescent="0.2">
      <c r="A1931" s="2" t="s">
        <v>10</v>
      </c>
      <c r="B1931" s="3" t="str">
        <f t="shared" si="40"/>
        <v>France - HCP Survey Email - June 2025</v>
      </c>
      <c r="C1931" s="3" t="str">
        <f>HYPERLINK("https://otsuka-europe-crm.veevavault.com/ui/#object/sent_email__v/VBLZ025E82GNOJS", "SE-000273583")</f>
        <v>SE-000273583</v>
      </c>
      <c r="D1931" s="4">
        <v>45916.470810185187</v>
      </c>
      <c r="E1931" s="5">
        <v>1</v>
      </c>
      <c r="F1931" s="5">
        <v>2</v>
      </c>
      <c r="G1931" s="5">
        <v>0</v>
      </c>
      <c r="H1931" s="4" t="s">
        <v>11</v>
      </c>
      <c r="I1931" s="5">
        <v>0</v>
      </c>
      <c r="J1931" s="4">
        <v>45916.294699074075</v>
      </c>
    </row>
    <row r="1932" spans="1:10" x14ac:dyDescent="0.2">
      <c r="A1932" s="2" t="s">
        <v>10</v>
      </c>
      <c r="B1932" s="3" t="str">
        <f t="shared" si="40"/>
        <v>France - HCP Survey Email - June 2025</v>
      </c>
      <c r="C1932" s="3" t="str">
        <f>HYPERLINK("https://otsuka-europe-crm.veevavault.com/ui/#object/sent_email__v/VBLZ025E82GNOJT", "SE-000273584")</f>
        <v>SE-000273584</v>
      </c>
      <c r="D1932" s="4">
        <v>45923.852685185186</v>
      </c>
      <c r="E1932" s="5">
        <v>1</v>
      </c>
      <c r="F1932" s="5">
        <v>1</v>
      </c>
      <c r="G1932" s="5">
        <v>0</v>
      </c>
      <c r="H1932" s="4" t="s">
        <v>11</v>
      </c>
      <c r="I1932" s="5">
        <v>0</v>
      </c>
      <c r="J1932" s="4">
        <v>45916.294571759259</v>
      </c>
    </row>
    <row r="1933" spans="1:10" x14ac:dyDescent="0.2">
      <c r="A1933" s="2" t="s">
        <v>10</v>
      </c>
      <c r="B1933" s="3" t="str">
        <f t="shared" si="40"/>
        <v>France - HCP Survey Email - June 2025</v>
      </c>
      <c r="C1933" s="3" t="str">
        <f>HYPERLINK("https://otsuka-europe-crm.veevavault.com/ui/#object/sent_email__v/VBLZ025E82GNOJU", "SE-000273585")</f>
        <v>SE-000273585</v>
      </c>
      <c r="D1933" s="4">
        <v>45916.890763888892</v>
      </c>
      <c r="E1933" s="5">
        <v>1</v>
      </c>
      <c r="F1933" s="5">
        <v>1</v>
      </c>
      <c r="G1933" s="5">
        <v>0</v>
      </c>
      <c r="H1933" s="4" t="s">
        <v>11</v>
      </c>
      <c r="I1933" s="5">
        <v>0</v>
      </c>
      <c r="J1933" s="4">
        <v>45916.294340277775</v>
      </c>
    </row>
    <row r="1934" spans="1:10" x14ac:dyDescent="0.2">
      <c r="A1934" s="2" t="s">
        <v>10</v>
      </c>
      <c r="B1934" s="3" t="str">
        <f t="shared" si="40"/>
        <v>France - HCP Survey Email - June 2025</v>
      </c>
      <c r="C1934" s="3" t="str">
        <f>HYPERLINK("https://otsuka-europe-crm.veevavault.com/ui/#object/sent_email__v/VBLZ025E82GNOJV", "SE-000273586")</f>
        <v>SE-000273586</v>
      </c>
      <c r="D1934" s="4" t="s">
        <v>11</v>
      </c>
      <c r="E1934" s="5">
        <v>0</v>
      </c>
      <c r="F1934" s="5">
        <v>0</v>
      </c>
      <c r="G1934" s="5">
        <v>0</v>
      </c>
      <c r="H1934" s="4" t="s">
        <v>11</v>
      </c>
      <c r="I1934" s="5">
        <v>0</v>
      </c>
      <c r="J1934" s="4">
        <v>45916.294895833336</v>
      </c>
    </row>
    <row r="1935" spans="1:10" x14ac:dyDescent="0.2">
      <c r="A1935" s="2" t="s">
        <v>10</v>
      </c>
      <c r="B1935" s="3" t="str">
        <f t="shared" si="40"/>
        <v>France - HCP Survey Email - June 2025</v>
      </c>
      <c r="C1935" s="3" t="str">
        <f>HYPERLINK("https://otsuka-europe-crm.veevavault.com/ui/#object/sent_email__v/VBLZ025E82GNOJW", "SE-000273587")</f>
        <v>SE-000273587</v>
      </c>
      <c r="D1935" s="4" t="s">
        <v>11</v>
      </c>
      <c r="E1935" s="5">
        <v>0</v>
      </c>
      <c r="F1935" s="5">
        <v>0</v>
      </c>
      <c r="G1935" s="5">
        <v>0</v>
      </c>
      <c r="H1935" s="4" t="s">
        <v>11</v>
      </c>
      <c r="I1935" s="5">
        <v>0</v>
      </c>
      <c r="J1935" s="4">
        <v>45916.294664351852</v>
      </c>
    </row>
    <row r="1936" spans="1:10" x14ac:dyDescent="0.2">
      <c r="A1936" s="2" t="s">
        <v>10</v>
      </c>
      <c r="B1936" s="3" t="str">
        <f t="shared" si="40"/>
        <v>France - HCP Survey Email - June 2025</v>
      </c>
      <c r="C1936" s="3" t="str">
        <f>HYPERLINK("https://otsuka-europe-crm.veevavault.com/ui/#object/sent_email__v/VBLZ025E82GNOJX", "SE-000273588")</f>
        <v>SE-000273588</v>
      </c>
      <c r="D1936" s="4" t="s">
        <v>11</v>
      </c>
      <c r="E1936" s="5">
        <v>0</v>
      </c>
      <c r="F1936" s="5">
        <v>0</v>
      </c>
      <c r="G1936" s="5">
        <v>0</v>
      </c>
      <c r="H1936" s="4" t="s">
        <v>11</v>
      </c>
      <c r="I1936" s="5">
        <v>0</v>
      </c>
      <c r="J1936" s="4">
        <v>45916.29451388889</v>
      </c>
    </row>
    <row r="1937" spans="1:10" x14ac:dyDescent="0.2">
      <c r="A1937" s="2" t="s">
        <v>10</v>
      </c>
      <c r="B1937" s="3" t="str">
        <f t="shared" si="40"/>
        <v>France - HCP Survey Email - June 2025</v>
      </c>
      <c r="C1937" s="3" t="str">
        <f>HYPERLINK("https://otsuka-europe-crm.veevavault.com/ui/#object/sent_email__v/VBLZ025E82GNOJY", "SE-000273589")</f>
        <v>SE-000273589</v>
      </c>
      <c r="D1937" s="4" t="s">
        <v>11</v>
      </c>
      <c r="E1937" s="5">
        <v>0</v>
      </c>
      <c r="F1937" s="5">
        <v>0</v>
      </c>
      <c r="G1937" s="5">
        <v>0</v>
      </c>
      <c r="H1937" s="4" t="s">
        <v>11</v>
      </c>
      <c r="I1937" s="5">
        <v>0</v>
      </c>
      <c r="J1937" s="4">
        <v>45916.294212962966</v>
      </c>
    </row>
    <row r="1938" spans="1:10" x14ac:dyDescent="0.2">
      <c r="A1938" s="2" t="s">
        <v>10</v>
      </c>
      <c r="B1938" s="3" t="str">
        <f t="shared" si="40"/>
        <v>France - HCP Survey Email - June 2025</v>
      </c>
      <c r="C1938" s="3" t="str">
        <f>HYPERLINK("https://otsuka-europe-crm.veevavault.com/ui/#object/sent_email__v/VBLZ025E82GNOJZ", "SE-000273590")</f>
        <v>SE-000273590</v>
      </c>
      <c r="D1938" s="4" t="s">
        <v>11</v>
      </c>
      <c r="E1938" s="5">
        <v>0</v>
      </c>
      <c r="F1938" s="5">
        <v>0</v>
      </c>
      <c r="G1938" s="5">
        <v>0</v>
      </c>
      <c r="H1938" s="4" t="s">
        <v>11</v>
      </c>
      <c r="I1938" s="5">
        <v>0</v>
      </c>
      <c r="J1938" s="4">
        <v>45916.294918981483</v>
      </c>
    </row>
    <row r="1939" spans="1:10" x14ac:dyDescent="0.2">
      <c r="A1939" s="2" t="s">
        <v>10</v>
      </c>
      <c r="B1939" s="3" t="str">
        <f t="shared" si="40"/>
        <v>France - HCP Survey Email - June 2025</v>
      </c>
      <c r="C1939" s="3" t="str">
        <f>HYPERLINK("https://otsuka-europe-crm.veevavault.com/ui/#object/sent_email__v/VBLZ025E82GNOK0", "SE-000273591")</f>
        <v>SE-000273591</v>
      </c>
      <c r="D1939" s="4" t="s">
        <v>11</v>
      </c>
      <c r="E1939" s="5">
        <v>0</v>
      </c>
      <c r="F1939" s="5">
        <v>0</v>
      </c>
      <c r="G1939" s="5">
        <v>0</v>
      </c>
      <c r="H1939" s="4" t="s">
        <v>11</v>
      </c>
      <c r="I1939" s="5">
        <v>0</v>
      </c>
      <c r="J1939" s="4">
        <v>45916.294583333336</v>
      </c>
    </row>
    <row r="1940" spans="1:10" x14ac:dyDescent="0.2">
      <c r="A1940" s="2" t="s">
        <v>10</v>
      </c>
      <c r="B1940" s="3" t="str">
        <f t="shared" si="40"/>
        <v>France - HCP Survey Email - June 2025</v>
      </c>
      <c r="C1940" s="3" t="str">
        <f>HYPERLINK("https://otsuka-europe-crm.veevavault.com/ui/#object/sent_email__v/VBLZ025E82GNOK1", "SE-000273592")</f>
        <v>SE-000273592</v>
      </c>
      <c r="D1940" s="4" t="s">
        <v>11</v>
      </c>
      <c r="E1940" s="5">
        <v>0</v>
      </c>
      <c r="F1940" s="5">
        <v>0</v>
      </c>
      <c r="G1940" s="5">
        <v>0</v>
      </c>
      <c r="H1940" s="4" t="s">
        <v>11</v>
      </c>
      <c r="I1940" s="5">
        <v>0</v>
      </c>
      <c r="J1940" s="4">
        <v>45916.294317129628</v>
      </c>
    </row>
    <row r="1941" spans="1:10" x14ac:dyDescent="0.2">
      <c r="A1941" s="2" t="s">
        <v>10</v>
      </c>
      <c r="B1941" s="3" t="str">
        <f t="shared" si="40"/>
        <v>France - HCP Survey Email - June 2025</v>
      </c>
      <c r="C1941" s="3" t="str">
        <f>HYPERLINK("https://otsuka-europe-crm.veevavault.com/ui/#object/sent_email__v/VBLZ025E82GNOK3", "SE-000273594")</f>
        <v>SE-000273594</v>
      </c>
      <c r="D1941" s="4">
        <v>45917.570821759262</v>
      </c>
      <c r="E1941" s="5">
        <v>1</v>
      </c>
      <c r="F1941" s="5">
        <v>1</v>
      </c>
      <c r="G1941" s="5">
        <v>0</v>
      </c>
      <c r="H1941" s="4" t="s">
        <v>11</v>
      </c>
      <c r="I1941" s="5">
        <v>0</v>
      </c>
      <c r="J1941" s="4">
        <v>45916.294803240744</v>
      </c>
    </row>
    <row r="1942" spans="1:10" x14ac:dyDescent="0.2">
      <c r="A1942" s="2" t="s">
        <v>10</v>
      </c>
      <c r="B1942" s="3" t="str">
        <f t="shared" si="40"/>
        <v>France - HCP Survey Email - June 2025</v>
      </c>
      <c r="C1942" s="3" t="str">
        <f>HYPERLINK("https://otsuka-europe-crm.veevavault.com/ui/#object/sent_email__v/VBLZ025E82GNOK4", "SE-000273595")</f>
        <v>SE-000273595</v>
      </c>
      <c r="D1942" s="4">
        <v>45916.458240740743</v>
      </c>
      <c r="E1942" s="5">
        <v>1</v>
      </c>
      <c r="F1942" s="5">
        <v>1</v>
      </c>
      <c r="G1942" s="5">
        <v>1</v>
      </c>
      <c r="H1942" s="4">
        <v>45916.458240740743</v>
      </c>
      <c r="I1942" s="5">
        <v>1</v>
      </c>
      <c r="J1942" s="4">
        <v>45916.294548611113</v>
      </c>
    </row>
    <row r="1943" spans="1:10" x14ac:dyDescent="0.2">
      <c r="A1943" s="2" t="s">
        <v>10</v>
      </c>
      <c r="B1943" s="3" t="str">
        <f t="shared" si="40"/>
        <v>France - HCP Survey Email - June 2025</v>
      </c>
      <c r="C1943" s="3" t="str">
        <f>HYPERLINK("https://otsuka-europe-crm.veevavault.com/ui/#object/sent_email__v/VBLZ025E82GNOK5", "SE-000273596")</f>
        <v>SE-000273596</v>
      </c>
      <c r="D1943" s="4">
        <v>45938.853321759256</v>
      </c>
      <c r="E1943" s="5">
        <v>1</v>
      </c>
      <c r="F1943" s="5">
        <v>1</v>
      </c>
      <c r="G1943" s="5">
        <v>0</v>
      </c>
      <c r="H1943" s="4" t="s">
        <v>11</v>
      </c>
      <c r="I1943" s="5">
        <v>0</v>
      </c>
      <c r="J1943" s="4">
        <v>45916.294340277775</v>
      </c>
    </row>
    <row r="1944" spans="1:10" x14ac:dyDescent="0.2">
      <c r="A1944" s="2" t="s">
        <v>10</v>
      </c>
      <c r="B1944" s="3" t="str">
        <f t="shared" si="40"/>
        <v>France - HCP Survey Email - June 2025</v>
      </c>
      <c r="C1944" s="3" t="str">
        <f>HYPERLINK("https://otsuka-europe-crm.veevavault.com/ui/#object/sent_email__v/VBLZ025E82GNOK6", "SE-000273597")</f>
        <v>SE-000273597</v>
      </c>
      <c r="D1944" s="4" t="s">
        <v>11</v>
      </c>
      <c r="E1944" s="5">
        <v>0</v>
      </c>
      <c r="F1944" s="5">
        <v>0</v>
      </c>
      <c r="G1944" s="5">
        <v>0</v>
      </c>
      <c r="H1944" s="4" t="s">
        <v>11</v>
      </c>
      <c r="I1944" s="5">
        <v>0</v>
      </c>
      <c r="J1944" s="4">
        <v>45916.294224537036</v>
      </c>
    </row>
    <row r="1945" spans="1:10" x14ac:dyDescent="0.2">
      <c r="A1945" s="2" t="s">
        <v>10</v>
      </c>
      <c r="B1945" s="3" t="str">
        <f t="shared" si="40"/>
        <v>France - HCP Survey Email - June 2025</v>
      </c>
      <c r="C1945" s="3" t="str">
        <f>HYPERLINK("https://otsuka-europe-crm.veevavault.com/ui/#object/sent_email__v/VBLZ025E82GNOK7", "SE-000273598")</f>
        <v>SE-000273598</v>
      </c>
      <c r="D1945" s="4" t="s">
        <v>11</v>
      </c>
      <c r="E1945" s="5">
        <v>0</v>
      </c>
      <c r="F1945" s="5">
        <v>0</v>
      </c>
      <c r="G1945" s="5">
        <v>0</v>
      </c>
      <c r="H1945" s="4" t="s">
        <v>11</v>
      </c>
      <c r="I1945" s="5">
        <v>0</v>
      </c>
      <c r="J1945" s="4">
        <v>45916.294814814813</v>
      </c>
    </row>
    <row r="1946" spans="1:10" x14ac:dyDescent="0.2">
      <c r="A1946" s="2" t="s">
        <v>10</v>
      </c>
      <c r="B1946" s="3" t="str">
        <f t="shared" si="40"/>
        <v>France - HCP Survey Email - June 2025</v>
      </c>
      <c r="C1946" s="3" t="str">
        <f>HYPERLINK("https://otsuka-europe-crm.veevavault.com/ui/#object/sent_email__v/VBLZ025E82GNOK8", "SE-000273599")</f>
        <v>SE-000273599</v>
      </c>
      <c r="D1946" s="4" t="s">
        <v>11</v>
      </c>
      <c r="E1946" s="5">
        <v>0</v>
      </c>
      <c r="F1946" s="5">
        <v>0</v>
      </c>
      <c r="G1946" s="5">
        <v>0</v>
      </c>
      <c r="H1946" s="4" t="s">
        <v>11</v>
      </c>
      <c r="I1946" s="5">
        <v>0</v>
      </c>
      <c r="J1946" s="4">
        <v>45916.294594907406</v>
      </c>
    </row>
    <row r="1947" spans="1:10" x14ac:dyDescent="0.2">
      <c r="A1947" s="2" t="s">
        <v>10</v>
      </c>
      <c r="B1947" s="3" t="str">
        <f t="shared" si="40"/>
        <v>France - HCP Survey Email - June 2025</v>
      </c>
      <c r="C1947" s="3" t="str">
        <f>HYPERLINK("https://otsuka-europe-crm.veevavault.com/ui/#object/sent_email__v/VBLZ025E82GNOK9", "SE-000273600")</f>
        <v>SE-000273600</v>
      </c>
      <c r="D1947" s="4" t="s">
        <v>11</v>
      </c>
      <c r="E1947" s="5">
        <v>0</v>
      </c>
      <c r="F1947" s="5">
        <v>0</v>
      </c>
      <c r="G1947" s="5">
        <v>0</v>
      </c>
      <c r="H1947" s="4" t="s">
        <v>11</v>
      </c>
      <c r="I1947" s="5">
        <v>0</v>
      </c>
      <c r="J1947" s="4">
        <v>45916.294363425928</v>
      </c>
    </row>
    <row r="1948" spans="1:10" x14ac:dyDescent="0.2">
      <c r="A1948" s="2" t="s">
        <v>10</v>
      </c>
      <c r="B1948" s="3" t="str">
        <f t="shared" si="40"/>
        <v>France - HCP Survey Email - June 2025</v>
      </c>
      <c r="C1948" s="3" t="str">
        <f>HYPERLINK("https://otsuka-europe-crm.veevavault.com/ui/#object/sent_email__v/VBLZ025E82GNOKA", "SE-000273601")</f>
        <v>SE-000273601</v>
      </c>
      <c r="D1948" s="4" t="s">
        <v>11</v>
      </c>
      <c r="E1948" s="5">
        <v>0</v>
      </c>
      <c r="F1948" s="5">
        <v>0</v>
      </c>
      <c r="G1948" s="5">
        <v>0</v>
      </c>
      <c r="H1948" s="4" t="s">
        <v>11</v>
      </c>
      <c r="I1948" s="5">
        <v>0</v>
      </c>
      <c r="J1948" s="4">
        <v>45916.294895833336</v>
      </c>
    </row>
    <row r="1949" spans="1:10" x14ac:dyDescent="0.2">
      <c r="A1949" s="2" t="s">
        <v>10</v>
      </c>
      <c r="B1949" s="3" t="str">
        <f t="shared" si="40"/>
        <v>France - HCP Survey Email - June 2025</v>
      </c>
      <c r="C1949" s="3" t="str">
        <f>HYPERLINK("https://otsuka-europe-crm.veevavault.com/ui/#object/sent_email__v/VBLZ025E82GNOKB", "SE-000273602")</f>
        <v>SE-000273602</v>
      </c>
      <c r="D1949" s="4" t="s">
        <v>11</v>
      </c>
      <c r="E1949" s="5">
        <v>0</v>
      </c>
      <c r="F1949" s="5">
        <v>0</v>
      </c>
      <c r="G1949" s="5">
        <v>0</v>
      </c>
      <c r="H1949" s="4" t="s">
        <v>11</v>
      </c>
      <c r="I1949" s="5">
        <v>0</v>
      </c>
      <c r="J1949" s="4">
        <v>45916.294814814813</v>
      </c>
    </row>
    <row r="1950" spans="1:10" x14ac:dyDescent="0.2">
      <c r="A1950" s="2" t="s">
        <v>10</v>
      </c>
      <c r="B1950" s="3" t="str">
        <f t="shared" si="40"/>
        <v>France - HCP Survey Email - June 2025</v>
      </c>
      <c r="C1950" s="3" t="str">
        <f>HYPERLINK("https://otsuka-europe-crm.veevavault.com/ui/#object/sent_email__v/VBLZ025E82GNOKC", "SE-000273603")</f>
        <v>SE-000273603</v>
      </c>
      <c r="D1950" s="4" t="s">
        <v>11</v>
      </c>
      <c r="E1950" s="5">
        <v>0</v>
      </c>
      <c r="F1950" s="5">
        <v>0</v>
      </c>
      <c r="G1950" s="5">
        <v>0</v>
      </c>
      <c r="H1950" s="4" t="s">
        <v>11</v>
      </c>
      <c r="I1950" s="5">
        <v>0</v>
      </c>
      <c r="J1950" s="4">
        <v>45916.294444444444</v>
      </c>
    </row>
    <row r="1951" spans="1:10" x14ac:dyDescent="0.2">
      <c r="A1951" s="2" t="s">
        <v>10</v>
      </c>
      <c r="B1951" s="3" t="str">
        <f t="shared" si="40"/>
        <v>France - HCP Survey Email - June 2025</v>
      </c>
      <c r="C1951" s="3" t="str">
        <f>HYPERLINK("https://otsuka-europe-crm.veevavault.com/ui/#object/sent_email__v/VBLZ025E82GNOKD", "SE-000273604")</f>
        <v>SE-000273604</v>
      </c>
      <c r="D1951" s="4">
        <v>46063.210127314815</v>
      </c>
      <c r="E1951" s="5">
        <v>1</v>
      </c>
      <c r="F1951" s="5">
        <v>2</v>
      </c>
      <c r="G1951" s="5">
        <v>0</v>
      </c>
      <c r="H1951" s="4" t="s">
        <v>11</v>
      </c>
      <c r="I1951" s="5">
        <v>0</v>
      </c>
      <c r="J1951" s="4">
        <v>45916.294282407405</v>
      </c>
    </row>
    <row r="1952" spans="1:10" x14ac:dyDescent="0.2">
      <c r="A1952" s="2" t="s">
        <v>10</v>
      </c>
      <c r="B1952" s="3" t="str">
        <f t="shared" si="40"/>
        <v>France - HCP Survey Email - June 2025</v>
      </c>
      <c r="C1952" s="3" t="str">
        <f>HYPERLINK("https://otsuka-europe-crm.veevavault.com/ui/#object/sent_email__v/VBLZ025E82GNOKE", "SE-000273605")</f>
        <v>SE-000273605</v>
      </c>
      <c r="D1952" s="4" t="s">
        <v>11</v>
      </c>
      <c r="E1952" s="5">
        <v>0</v>
      </c>
      <c r="F1952" s="5">
        <v>0</v>
      </c>
      <c r="G1952" s="5">
        <v>0</v>
      </c>
      <c r="H1952" s="4" t="s">
        <v>11</v>
      </c>
      <c r="I1952" s="5">
        <v>0</v>
      </c>
      <c r="J1952" s="4">
        <v>45916.294849537036</v>
      </c>
    </row>
    <row r="1953" spans="1:10" x14ac:dyDescent="0.2">
      <c r="A1953" s="2" t="s">
        <v>10</v>
      </c>
      <c r="B1953" s="3" t="str">
        <f t="shared" si="40"/>
        <v>France - HCP Survey Email - June 2025</v>
      </c>
      <c r="C1953" s="3" t="str">
        <f>HYPERLINK("https://otsuka-europe-crm.veevavault.com/ui/#object/sent_email__v/VBLZ025E82GNOKF", "SE-000273606")</f>
        <v>SE-000273606</v>
      </c>
      <c r="D1953" s="4" t="s">
        <v>11</v>
      </c>
      <c r="E1953" s="5">
        <v>0</v>
      </c>
      <c r="F1953" s="5">
        <v>0</v>
      </c>
      <c r="G1953" s="5">
        <v>0</v>
      </c>
      <c r="H1953" s="4" t="s">
        <v>11</v>
      </c>
      <c r="I1953" s="5">
        <v>0</v>
      </c>
      <c r="J1953" s="4">
        <v>45916.294606481482</v>
      </c>
    </row>
    <row r="1954" spans="1:10" x14ac:dyDescent="0.2">
      <c r="A1954" s="2" t="s">
        <v>10</v>
      </c>
      <c r="B1954" s="3" t="str">
        <f t="shared" si="40"/>
        <v>France - HCP Survey Email - June 2025</v>
      </c>
      <c r="C1954" s="3" t="str">
        <f>HYPERLINK("https://otsuka-europe-crm.veevavault.com/ui/#object/sent_email__v/VBLZ025E82GNOKG", "SE-000273607")</f>
        <v>SE-000273607</v>
      </c>
      <c r="D1954" s="4" t="s">
        <v>11</v>
      </c>
      <c r="E1954" s="5">
        <v>0</v>
      </c>
      <c r="F1954" s="5">
        <v>0</v>
      </c>
      <c r="G1954" s="5">
        <v>0</v>
      </c>
      <c r="H1954" s="4" t="s">
        <v>11</v>
      </c>
      <c r="I1954" s="5">
        <v>0</v>
      </c>
      <c r="J1954" s="4">
        <v>45916.294351851851</v>
      </c>
    </row>
    <row r="1955" spans="1:10" x14ac:dyDescent="0.2">
      <c r="A1955" s="2" t="s">
        <v>10</v>
      </c>
      <c r="B1955" s="3" t="str">
        <f t="shared" si="40"/>
        <v>France - HCP Survey Email - June 2025</v>
      </c>
      <c r="C1955" s="3" t="str">
        <f>HYPERLINK("https://otsuka-europe-crm.veevavault.com/ui/#object/sent_email__v/VBLZ025E82GNOKH", "SE-000273608")</f>
        <v>SE-000273608</v>
      </c>
      <c r="D1955" s="4" t="s">
        <v>11</v>
      </c>
      <c r="E1955" s="5">
        <v>0</v>
      </c>
      <c r="F1955" s="5">
        <v>0</v>
      </c>
      <c r="G1955" s="5">
        <v>0</v>
      </c>
      <c r="H1955" s="4" t="s">
        <v>11</v>
      </c>
      <c r="I1955" s="5">
        <v>0</v>
      </c>
      <c r="J1955" s="4">
        <v>45916.294259259259</v>
      </c>
    </row>
    <row r="1956" spans="1:10" x14ac:dyDescent="0.2">
      <c r="A1956" s="2" t="s">
        <v>10</v>
      </c>
      <c r="B1956" s="3" t="str">
        <f t="shared" si="40"/>
        <v>France - HCP Survey Email - June 2025</v>
      </c>
      <c r="C1956" s="3" t="str">
        <f>HYPERLINK("https://otsuka-europe-crm.veevavault.com/ui/#object/sent_email__v/VBLZ025E82GNOKI", "SE-000273609")</f>
        <v>SE-000273609</v>
      </c>
      <c r="D1956" s="4">
        <v>45920.439016203702</v>
      </c>
      <c r="E1956" s="5">
        <v>1</v>
      </c>
      <c r="F1956" s="5">
        <v>3</v>
      </c>
      <c r="G1956" s="5">
        <v>0</v>
      </c>
      <c r="H1956" s="4" t="s">
        <v>11</v>
      </c>
      <c r="I1956" s="5">
        <v>0</v>
      </c>
      <c r="J1956" s="4">
        <v>45916.294733796298</v>
      </c>
    </row>
    <row r="1957" spans="1:10" x14ac:dyDescent="0.2">
      <c r="A1957" s="2" t="s">
        <v>10</v>
      </c>
      <c r="B1957" s="3" t="str">
        <f t="shared" si="40"/>
        <v>France - HCP Survey Email - June 2025</v>
      </c>
      <c r="C1957" s="3" t="str">
        <f>HYPERLINK("https://otsuka-europe-crm.veevavault.com/ui/#object/sent_email__v/VBLZ025E82GNOKJ", "SE-000273610")</f>
        <v>SE-000273610</v>
      </c>
      <c r="D1957" s="4" t="s">
        <v>11</v>
      </c>
      <c r="E1957" s="5">
        <v>0</v>
      </c>
      <c r="F1957" s="5">
        <v>0</v>
      </c>
      <c r="G1957" s="5">
        <v>0</v>
      </c>
      <c r="H1957" s="4" t="s">
        <v>11</v>
      </c>
      <c r="I1957" s="5">
        <v>0</v>
      </c>
      <c r="J1957" s="4">
        <v>45916.294537037036</v>
      </c>
    </row>
    <row r="1958" spans="1:10" x14ac:dyDescent="0.2">
      <c r="A1958" s="2" t="s">
        <v>10</v>
      </c>
      <c r="B1958" s="3" t="str">
        <f t="shared" si="40"/>
        <v>France - HCP Survey Email - June 2025</v>
      </c>
      <c r="C1958" s="3" t="str">
        <f>HYPERLINK("https://otsuka-europe-crm.veevavault.com/ui/#object/sent_email__v/VBLZ025E82GNOKK", "SE-000273611")</f>
        <v>SE-000273611</v>
      </c>
      <c r="D1958" s="4" t="s">
        <v>11</v>
      </c>
      <c r="E1958" s="5">
        <v>0</v>
      </c>
      <c r="F1958" s="5">
        <v>0</v>
      </c>
      <c r="G1958" s="5">
        <v>0</v>
      </c>
      <c r="H1958" s="4" t="s">
        <v>11</v>
      </c>
      <c r="I1958" s="5">
        <v>0</v>
      </c>
      <c r="J1958" s="4">
        <v>45916.294340277775</v>
      </c>
    </row>
    <row r="1959" spans="1:10" x14ac:dyDescent="0.2">
      <c r="A1959" s="2" t="s">
        <v>10</v>
      </c>
      <c r="B1959" s="3" t="str">
        <f t="shared" si="40"/>
        <v>France - HCP Survey Email - June 2025</v>
      </c>
      <c r="C1959" s="3" t="str">
        <f>HYPERLINK("https://otsuka-europe-crm.veevavault.com/ui/#object/sent_email__v/VBLZ025E82GNOKL", "SE-000273612")</f>
        <v>SE-000273612</v>
      </c>
      <c r="D1959" s="4" t="s">
        <v>11</v>
      </c>
      <c r="E1959" s="5">
        <v>0</v>
      </c>
      <c r="F1959" s="5">
        <v>0</v>
      </c>
      <c r="G1959" s="5">
        <v>0</v>
      </c>
      <c r="H1959" s="4" t="s">
        <v>11</v>
      </c>
      <c r="I1959" s="5">
        <v>0</v>
      </c>
      <c r="J1959" s="4">
        <v>45916.29488425926</v>
      </c>
    </row>
    <row r="1960" spans="1:10" x14ac:dyDescent="0.2">
      <c r="A1960" s="2" t="s">
        <v>10</v>
      </c>
      <c r="B1960" s="3" t="str">
        <f t="shared" si="40"/>
        <v>France - HCP Survey Email - June 2025</v>
      </c>
      <c r="C1960" s="3" t="str">
        <f>HYPERLINK("https://otsuka-europe-crm.veevavault.com/ui/#object/sent_email__v/VBLZ025E82GNOKM", "SE-000273613")</f>
        <v>SE-000273613</v>
      </c>
      <c r="D1960" s="4">
        <v>45918.468622685185</v>
      </c>
      <c r="E1960" s="5">
        <v>1</v>
      </c>
      <c r="F1960" s="5">
        <v>1</v>
      </c>
      <c r="G1960" s="5">
        <v>0</v>
      </c>
      <c r="H1960" s="4" t="s">
        <v>11</v>
      </c>
      <c r="I1960" s="5">
        <v>0</v>
      </c>
      <c r="J1960" s="4">
        <v>45916.294756944444</v>
      </c>
    </row>
    <row r="1961" spans="1:10" x14ac:dyDescent="0.2">
      <c r="A1961" s="2" t="s">
        <v>10</v>
      </c>
      <c r="B1961" s="3" t="str">
        <f t="shared" si="40"/>
        <v>France - HCP Survey Email - June 2025</v>
      </c>
      <c r="C1961" s="3" t="str">
        <f>HYPERLINK("https://otsuka-europe-crm.veevavault.com/ui/#object/sent_email__v/VBLZ025E82GNOKN", "SE-000273614")</f>
        <v>SE-000273614</v>
      </c>
      <c r="D1961" s="4" t="s">
        <v>11</v>
      </c>
      <c r="E1961" s="5">
        <v>0</v>
      </c>
      <c r="F1961" s="5">
        <v>0</v>
      </c>
      <c r="G1961" s="5">
        <v>0</v>
      </c>
      <c r="H1961" s="4" t="s">
        <v>11</v>
      </c>
      <c r="I1961" s="5">
        <v>0</v>
      </c>
      <c r="J1961" s="4">
        <v>45916.294421296298</v>
      </c>
    </row>
    <row r="1962" spans="1:10" x14ac:dyDescent="0.2">
      <c r="A1962" s="2" t="s">
        <v>10</v>
      </c>
      <c r="B1962" s="3" t="str">
        <f t="shared" si="40"/>
        <v>France - HCP Survey Email - June 2025</v>
      </c>
      <c r="C1962" s="3" t="str">
        <f>HYPERLINK("https://otsuka-europe-crm.veevavault.com/ui/#object/sent_email__v/VBLZ025E82GNOKO", "SE-000273615")</f>
        <v>SE-000273615</v>
      </c>
      <c r="D1962" s="4" t="s">
        <v>11</v>
      </c>
      <c r="E1962" s="5">
        <v>0</v>
      </c>
      <c r="F1962" s="5">
        <v>0</v>
      </c>
      <c r="G1962" s="5">
        <v>0</v>
      </c>
      <c r="H1962" s="4" t="s">
        <v>11</v>
      </c>
      <c r="I1962" s="5">
        <v>0</v>
      </c>
      <c r="J1962" s="4">
        <v>45916.294293981482</v>
      </c>
    </row>
    <row r="1963" spans="1:10" x14ac:dyDescent="0.2">
      <c r="A1963" s="2" t="s">
        <v>10</v>
      </c>
      <c r="B1963" s="3" t="str">
        <f t="shared" si="40"/>
        <v>France - HCP Survey Email - June 2025</v>
      </c>
      <c r="C1963" s="3" t="str">
        <f>HYPERLINK("https://otsuka-europe-crm.veevavault.com/ui/#object/sent_email__v/VBLZ025E82GNOKP", "SE-000273616")</f>
        <v>SE-000273616</v>
      </c>
      <c r="D1963" s="4" t="s">
        <v>11</v>
      </c>
      <c r="E1963" s="5">
        <v>0</v>
      </c>
      <c r="F1963" s="5">
        <v>0</v>
      </c>
      <c r="G1963" s="5">
        <v>0</v>
      </c>
      <c r="H1963" s="4" t="s">
        <v>11</v>
      </c>
      <c r="I1963" s="5">
        <v>0</v>
      </c>
      <c r="J1963" s="4">
        <v>45916.294918981483</v>
      </c>
    </row>
    <row r="1964" spans="1:10" x14ac:dyDescent="0.2">
      <c r="A1964" s="2" t="s">
        <v>10</v>
      </c>
      <c r="B1964" s="3" t="str">
        <f t="shared" si="40"/>
        <v>France - HCP Survey Email - June 2025</v>
      </c>
      <c r="C1964" s="3" t="str">
        <f>HYPERLINK("https://otsuka-europe-crm.veevavault.com/ui/#object/sent_email__v/VBLZ025E82GNOKQ", "SE-000273617")</f>
        <v>SE-000273617</v>
      </c>
      <c r="D1964" s="4" t="s">
        <v>11</v>
      </c>
      <c r="E1964" s="5">
        <v>0</v>
      </c>
      <c r="F1964" s="5">
        <v>0</v>
      </c>
      <c r="G1964" s="5">
        <v>0</v>
      </c>
      <c r="H1964" s="4" t="s">
        <v>11</v>
      </c>
      <c r="I1964" s="5">
        <v>0</v>
      </c>
      <c r="J1964" s="4">
        <v>45916.294548611113</v>
      </c>
    </row>
    <row r="1965" spans="1:10" x14ac:dyDescent="0.2">
      <c r="A1965" s="2" t="s">
        <v>10</v>
      </c>
      <c r="B1965" s="3" t="str">
        <f t="shared" si="40"/>
        <v>France - HCP Survey Email - June 2025</v>
      </c>
      <c r="C1965" s="3" t="str">
        <f>HYPERLINK("https://otsuka-europe-crm.veevavault.com/ui/#object/sent_email__v/VBLZ025E82GNOKR", "SE-000273618")</f>
        <v>SE-000273618</v>
      </c>
      <c r="D1965" s="4" t="s">
        <v>11</v>
      </c>
      <c r="E1965" s="5">
        <v>0</v>
      </c>
      <c r="F1965" s="5">
        <v>0</v>
      </c>
      <c r="G1965" s="5">
        <v>0</v>
      </c>
      <c r="H1965" s="4" t="s">
        <v>11</v>
      </c>
      <c r="I1965" s="5">
        <v>0</v>
      </c>
      <c r="J1965" s="4">
        <v>45916.294363425928</v>
      </c>
    </row>
    <row r="1966" spans="1:10" x14ac:dyDescent="0.2">
      <c r="A1966" s="2" t="s">
        <v>10</v>
      </c>
      <c r="B1966" s="3" t="str">
        <f t="shared" si="40"/>
        <v>France - HCP Survey Email - June 2025</v>
      </c>
      <c r="C1966" s="3" t="str">
        <f>HYPERLINK("https://otsuka-europe-crm.veevavault.com/ui/#object/sent_email__v/VBLZ025E82GNOKS", "SE-000273619")</f>
        <v>SE-000273619</v>
      </c>
      <c r="D1966" s="4" t="s">
        <v>11</v>
      </c>
      <c r="E1966" s="5">
        <v>0</v>
      </c>
      <c r="F1966" s="5">
        <v>0</v>
      </c>
      <c r="G1966" s="5">
        <v>0</v>
      </c>
      <c r="H1966" s="4" t="s">
        <v>11</v>
      </c>
      <c r="I1966" s="5">
        <v>0</v>
      </c>
      <c r="J1966" s="4">
        <v>45916.294189814813</v>
      </c>
    </row>
    <row r="1967" spans="1:10" x14ac:dyDescent="0.2">
      <c r="A1967" s="2" t="s">
        <v>10</v>
      </c>
      <c r="B1967" s="3" t="str">
        <f t="shared" si="40"/>
        <v>France - HCP Survey Email - June 2025</v>
      </c>
      <c r="C1967" s="3" t="str">
        <f>HYPERLINK("https://otsuka-europe-crm.veevavault.com/ui/#object/sent_email__v/VBLZ025E82GNOKT", "SE-000273620")</f>
        <v>SE-000273620</v>
      </c>
      <c r="D1967" s="4" t="s">
        <v>11</v>
      </c>
      <c r="E1967" s="5">
        <v>0</v>
      </c>
      <c r="F1967" s="5">
        <v>0</v>
      </c>
      <c r="G1967" s="5">
        <v>0</v>
      </c>
      <c r="H1967" s="4" t="s">
        <v>11</v>
      </c>
      <c r="I1967" s="5">
        <v>0</v>
      </c>
      <c r="J1967" s="4">
        <v>45916.294803240744</v>
      </c>
    </row>
    <row r="1968" spans="1:10" x14ac:dyDescent="0.2">
      <c r="A1968" s="2" t="s">
        <v>10</v>
      </c>
      <c r="B1968" s="3" t="str">
        <f t="shared" si="40"/>
        <v>France - HCP Survey Email - June 2025</v>
      </c>
      <c r="C1968" s="3" t="str">
        <f>HYPERLINK("https://otsuka-europe-crm.veevavault.com/ui/#object/sent_email__v/VBLZ025E82GNOKU", "SE-000273621")</f>
        <v>SE-000273621</v>
      </c>
      <c r="D1968" s="4">
        <v>45916.863935185182</v>
      </c>
      <c r="E1968" s="5">
        <v>1</v>
      </c>
      <c r="F1968" s="5">
        <v>1</v>
      </c>
      <c r="G1968" s="5">
        <v>0</v>
      </c>
      <c r="H1968" s="4" t="s">
        <v>11</v>
      </c>
      <c r="I1968" s="5">
        <v>0</v>
      </c>
      <c r="J1968" s="4">
        <v>45916.294583333336</v>
      </c>
    </row>
    <row r="1969" spans="1:10" x14ac:dyDescent="0.2">
      <c r="A1969" s="2" t="s">
        <v>10</v>
      </c>
      <c r="B1969" s="3" t="str">
        <f t="shared" si="40"/>
        <v>France - HCP Survey Email - June 2025</v>
      </c>
      <c r="C1969" s="3" t="str">
        <f>HYPERLINK("https://otsuka-europe-crm.veevavault.com/ui/#object/sent_email__v/VBLZ025E82GNOKV", "SE-000273622")</f>
        <v>SE-000273622</v>
      </c>
      <c r="D1969" s="4" t="s">
        <v>11</v>
      </c>
      <c r="E1969" s="5">
        <v>0</v>
      </c>
      <c r="F1969" s="5">
        <v>0</v>
      </c>
      <c r="G1969" s="5">
        <v>0</v>
      </c>
      <c r="H1969" s="4" t="s">
        <v>11</v>
      </c>
      <c r="I1969" s="5">
        <v>0</v>
      </c>
      <c r="J1969" s="4">
        <v>45916.294293981482</v>
      </c>
    </row>
    <row r="1970" spans="1:10" x14ac:dyDescent="0.2">
      <c r="A1970" s="2" t="s">
        <v>10</v>
      </c>
      <c r="B1970" s="3" t="str">
        <f t="shared" si="40"/>
        <v>France - HCP Survey Email - June 2025</v>
      </c>
      <c r="C1970" s="3" t="str">
        <f>HYPERLINK("https://otsuka-europe-crm.veevavault.com/ui/#object/sent_email__v/VBLZ025E82GNOKW", "SE-000273623")</f>
        <v>SE-000273623</v>
      </c>
      <c r="D1970" s="4" t="s">
        <v>11</v>
      </c>
      <c r="E1970" s="5">
        <v>0</v>
      </c>
      <c r="F1970" s="5">
        <v>0</v>
      </c>
      <c r="G1970" s="5">
        <v>0</v>
      </c>
      <c r="H1970" s="4" t="s">
        <v>11</v>
      </c>
      <c r="I1970" s="5">
        <v>0</v>
      </c>
      <c r="J1970" s="4">
        <v>45916.294409722221</v>
      </c>
    </row>
    <row r="1971" spans="1:10" x14ac:dyDescent="0.2">
      <c r="A1971" s="2" t="s">
        <v>10</v>
      </c>
      <c r="B1971" s="3" t="str">
        <f t="shared" si="40"/>
        <v>France - HCP Survey Email - June 2025</v>
      </c>
      <c r="C1971" s="3" t="str">
        <f>HYPERLINK("https://otsuka-europe-crm.veevavault.com/ui/#object/sent_email__v/VBLZ025E82GNOKX", "SE-000273624")</f>
        <v>SE-000273624</v>
      </c>
      <c r="D1971" s="4" t="s">
        <v>11</v>
      </c>
      <c r="E1971" s="5">
        <v>0</v>
      </c>
      <c r="F1971" s="5">
        <v>0</v>
      </c>
      <c r="G1971" s="5">
        <v>0</v>
      </c>
      <c r="H1971" s="4" t="s">
        <v>11</v>
      </c>
      <c r="I1971" s="5">
        <v>0</v>
      </c>
      <c r="J1971" s="4">
        <v>45916.295011574075</v>
      </c>
    </row>
    <row r="1972" spans="1:10" x14ac:dyDescent="0.2">
      <c r="A1972" s="2" t="s">
        <v>10</v>
      </c>
      <c r="B1972" s="3" t="str">
        <f t="shared" si="40"/>
        <v>France - HCP Survey Email - June 2025</v>
      </c>
      <c r="C1972" s="3" t="str">
        <f>HYPERLINK("https://otsuka-europe-crm.veevavault.com/ui/#object/sent_email__v/VBLZ025E82GNOKY", "SE-000273625")</f>
        <v>SE-000273625</v>
      </c>
      <c r="D1972" s="4" t="s">
        <v>11</v>
      </c>
      <c r="E1972" s="5">
        <v>0</v>
      </c>
      <c r="F1972" s="5">
        <v>0</v>
      </c>
      <c r="G1972" s="5">
        <v>0</v>
      </c>
      <c r="H1972" s="4" t="s">
        <v>11</v>
      </c>
      <c r="I1972" s="5">
        <v>0</v>
      </c>
      <c r="J1972" s="4">
        <v>45916.294756944444</v>
      </c>
    </row>
    <row r="1973" spans="1:10" x14ac:dyDescent="0.2">
      <c r="A1973" s="2" t="s">
        <v>10</v>
      </c>
      <c r="B1973" s="3" t="str">
        <f t="shared" si="40"/>
        <v>France - HCP Survey Email - June 2025</v>
      </c>
      <c r="C1973" s="3" t="str">
        <f>HYPERLINK("https://otsuka-europe-crm.veevavault.com/ui/#object/sent_email__v/VBLZ025E82GNOKZ", "SE-000273626")</f>
        <v>SE-000273626</v>
      </c>
      <c r="D1973" s="4">
        <v>45916.38349537037</v>
      </c>
      <c r="E1973" s="5">
        <v>1</v>
      </c>
      <c r="F1973" s="5">
        <v>1</v>
      </c>
      <c r="G1973" s="5">
        <v>1</v>
      </c>
      <c r="H1973" s="4">
        <v>45916.38349537037</v>
      </c>
      <c r="I1973" s="5">
        <v>1</v>
      </c>
      <c r="J1973" s="4">
        <v>45916.294537037036</v>
      </c>
    </row>
    <row r="1974" spans="1:10" x14ac:dyDescent="0.2">
      <c r="A1974" s="2" t="s">
        <v>10</v>
      </c>
      <c r="B1974" s="3" t="str">
        <f t="shared" si="40"/>
        <v>France - HCP Survey Email - June 2025</v>
      </c>
      <c r="C1974" s="3" t="str">
        <f>HYPERLINK("https://otsuka-europe-crm.veevavault.com/ui/#object/sent_email__v/VBLZ025E82GNOL0", "SE-000273627")</f>
        <v>SE-000273627</v>
      </c>
      <c r="D1974" s="4">
        <v>45944.085474537038</v>
      </c>
      <c r="E1974" s="5">
        <v>1</v>
      </c>
      <c r="F1974" s="5">
        <v>3</v>
      </c>
      <c r="G1974" s="5">
        <v>0</v>
      </c>
      <c r="H1974" s="4" t="s">
        <v>11</v>
      </c>
      <c r="I1974" s="5">
        <v>0</v>
      </c>
      <c r="J1974" s="4">
        <v>45916.294317129628</v>
      </c>
    </row>
    <row r="1975" spans="1:10" x14ac:dyDescent="0.2">
      <c r="A1975" s="2" t="s">
        <v>10</v>
      </c>
      <c r="B1975" s="3" t="str">
        <f t="shared" si="40"/>
        <v>France - HCP Survey Email - June 2025</v>
      </c>
      <c r="C1975" s="3" t="str">
        <f>HYPERLINK("https://otsuka-europe-crm.veevavault.com/ui/#object/sent_email__v/VBLZ025E82GNOL1", "SE-000273628")</f>
        <v>SE-000273628</v>
      </c>
      <c r="D1975" s="4" t="s">
        <v>11</v>
      </c>
      <c r="E1975" s="5">
        <v>0</v>
      </c>
      <c r="F1975" s="5">
        <v>0</v>
      </c>
      <c r="G1975" s="5">
        <v>0</v>
      </c>
      <c r="H1975" s="4" t="s">
        <v>11</v>
      </c>
      <c r="I1975" s="5">
        <v>0</v>
      </c>
      <c r="J1975" s="4">
        <v>45916.295081018521</v>
      </c>
    </row>
    <row r="1976" spans="1:10" x14ac:dyDescent="0.2">
      <c r="A1976" s="2" t="s">
        <v>10</v>
      </c>
      <c r="B1976" s="3" t="str">
        <f t="shared" si="40"/>
        <v>France - HCP Survey Email - June 2025</v>
      </c>
      <c r="C1976" s="3" t="str">
        <f>HYPERLINK("https://otsuka-europe-crm.veevavault.com/ui/#object/sent_email__v/VBLZ025E82GNOL2", "SE-000273629")</f>
        <v>SE-000273629</v>
      </c>
      <c r="D1976" s="4" t="s">
        <v>11</v>
      </c>
      <c r="E1976" s="5">
        <v>0</v>
      </c>
      <c r="F1976" s="5">
        <v>0</v>
      </c>
      <c r="G1976" s="5">
        <v>0</v>
      </c>
      <c r="H1976" s="4" t="s">
        <v>11</v>
      </c>
      <c r="I1976" s="5">
        <v>0</v>
      </c>
      <c r="J1976" s="4">
        <v>45916.294745370367</v>
      </c>
    </row>
    <row r="1977" spans="1:10" x14ac:dyDescent="0.2">
      <c r="A1977" s="2" t="s">
        <v>10</v>
      </c>
      <c r="B1977" s="3" t="str">
        <f t="shared" si="40"/>
        <v>France - HCP Survey Email - June 2025</v>
      </c>
      <c r="C1977" s="3" t="str">
        <f>HYPERLINK("https://otsuka-europe-crm.veevavault.com/ui/#object/sent_email__v/VBLZ025E82GNOL4", "SE-000273631")</f>
        <v>SE-000273631</v>
      </c>
      <c r="D1977" s="4" t="s">
        <v>11</v>
      </c>
      <c r="E1977" s="5">
        <v>0</v>
      </c>
      <c r="F1977" s="5">
        <v>0</v>
      </c>
      <c r="G1977" s="5">
        <v>0</v>
      </c>
      <c r="H1977" s="4" t="s">
        <v>11</v>
      </c>
      <c r="I1977" s="5">
        <v>0</v>
      </c>
      <c r="J1977" s="4">
        <v>45916.294270833336</v>
      </c>
    </row>
    <row r="1978" spans="1:10" x14ac:dyDescent="0.2">
      <c r="A1978" s="2" t="s">
        <v>10</v>
      </c>
      <c r="B1978" s="3" t="str">
        <f t="shared" si="40"/>
        <v>France - HCP Survey Email - June 2025</v>
      </c>
      <c r="C1978" s="3" t="str">
        <f>HYPERLINK("https://otsuka-europe-crm.veevavault.com/ui/#object/sent_email__v/VBLZ025E82GNOL5", "SE-000273632")</f>
        <v>SE-000273632</v>
      </c>
      <c r="D1978" s="4" t="s">
        <v>11</v>
      </c>
      <c r="E1978" s="5">
        <v>0</v>
      </c>
      <c r="F1978" s="5">
        <v>0</v>
      </c>
      <c r="G1978" s="5">
        <v>0</v>
      </c>
      <c r="H1978" s="4" t="s">
        <v>11</v>
      </c>
      <c r="I1978" s="5">
        <v>0</v>
      </c>
      <c r="J1978" s="4">
        <v>45916.294803240744</v>
      </c>
    </row>
    <row r="1979" spans="1:10" x14ac:dyDescent="0.2">
      <c r="A1979" s="2" t="s">
        <v>10</v>
      </c>
      <c r="B1979" s="3" t="str">
        <f t="shared" si="40"/>
        <v>France - HCP Survey Email - June 2025</v>
      </c>
      <c r="C1979" s="3" t="str">
        <f>HYPERLINK("https://otsuka-europe-crm.veevavault.com/ui/#object/sent_email__v/VBLZ025E82GNOL6", "SE-000273633")</f>
        <v>SE-000273633</v>
      </c>
      <c r="D1979" s="4">
        <v>45916.375625000001</v>
      </c>
      <c r="E1979" s="5">
        <v>1</v>
      </c>
      <c r="F1979" s="5">
        <v>1</v>
      </c>
      <c r="G1979" s="5">
        <v>1</v>
      </c>
      <c r="H1979" s="4">
        <v>45916.375625000001</v>
      </c>
      <c r="I1979" s="5">
        <v>1</v>
      </c>
      <c r="J1979" s="4">
        <v>45916.294560185182</v>
      </c>
    </row>
    <row r="1980" spans="1:10" x14ac:dyDescent="0.2">
      <c r="A1980" s="2" t="s">
        <v>10</v>
      </c>
      <c r="B1980" s="3" t="str">
        <f t="shared" si="40"/>
        <v>France - HCP Survey Email - June 2025</v>
      </c>
      <c r="C1980" s="3" t="str">
        <f>HYPERLINK("https://otsuka-europe-crm.veevavault.com/ui/#object/sent_email__v/VBLZ025E82GNOL7", "SE-000273634")</f>
        <v>SE-000273634</v>
      </c>
      <c r="D1980" s="4" t="s">
        <v>11</v>
      </c>
      <c r="E1980" s="5">
        <v>0</v>
      </c>
      <c r="F1980" s="5">
        <v>0</v>
      </c>
      <c r="G1980" s="5">
        <v>0</v>
      </c>
      <c r="H1980" s="4" t="s">
        <v>11</v>
      </c>
      <c r="I1980" s="5">
        <v>0</v>
      </c>
      <c r="J1980" s="4">
        <v>45916.294421296298</v>
      </c>
    </row>
    <row r="1981" spans="1:10" x14ac:dyDescent="0.2">
      <c r="A1981" s="2" t="s">
        <v>10</v>
      </c>
      <c r="B1981" s="3" t="str">
        <f t="shared" si="40"/>
        <v>France - HCP Survey Email - June 2025</v>
      </c>
      <c r="C1981" s="3" t="str">
        <f>HYPERLINK("https://otsuka-europe-crm.veevavault.com/ui/#object/sent_email__v/VBLZ025E82GNOL8", "SE-000273635")</f>
        <v>SE-000273635</v>
      </c>
      <c r="D1981" s="4" t="s">
        <v>11</v>
      </c>
      <c r="E1981" s="5">
        <v>0</v>
      </c>
      <c r="F1981" s="5">
        <v>0</v>
      </c>
      <c r="G1981" s="5">
        <v>0</v>
      </c>
      <c r="H1981" s="4" t="s">
        <v>11</v>
      </c>
      <c r="I1981" s="5">
        <v>0</v>
      </c>
      <c r="J1981" s="4">
        <v>45916.295011574075</v>
      </c>
    </row>
    <row r="1982" spans="1:10" x14ac:dyDescent="0.2">
      <c r="A1982" s="2" t="s">
        <v>10</v>
      </c>
      <c r="B1982" s="3" t="str">
        <f t="shared" si="40"/>
        <v>France - HCP Survey Email - June 2025</v>
      </c>
      <c r="C1982" s="3" t="str">
        <f>HYPERLINK("https://otsuka-europe-crm.veevavault.com/ui/#object/sent_email__v/VBLZ025E82GNOL9", "SE-000273636")</f>
        <v>SE-000273636</v>
      </c>
      <c r="D1982" s="4" t="s">
        <v>11</v>
      </c>
      <c r="E1982" s="5">
        <v>0</v>
      </c>
      <c r="F1982" s="5">
        <v>0</v>
      </c>
      <c r="G1982" s="5">
        <v>0</v>
      </c>
      <c r="H1982" s="4" t="s">
        <v>11</v>
      </c>
      <c r="I1982" s="5">
        <v>0</v>
      </c>
      <c r="J1982" s="4">
        <v>45916.29483796296</v>
      </c>
    </row>
    <row r="1983" spans="1:10" x14ac:dyDescent="0.2">
      <c r="A1983" s="2" t="s">
        <v>10</v>
      </c>
      <c r="B1983" s="3" t="str">
        <f t="shared" si="40"/>
        <v>France - HCP Survey Email - June 2025</v>
      </c>
      <c r="C1983" s="3" t="str">
        <f>HYPERLINK("https://otsuka-europe-crm.veevavault.com/ui/#object/sent_email__v/VBLZ025E82GNOLA", "SE-000273637")</f>
        <v>SE-000273637</v>
      </c>
      <c r="D1983" s="4">
        <v>45916.301712962966</v>
      </c>
      <c r="E1983" s="5">
        <v>1</v>
      </c>
      <c r="F1983" s="5">
        <v>1</v>
      </c>
      <c r="G1983" s="5">
        <v>0</v>
      </c>
      <c r="H1983" s="4" t="s">
        <v>11</v>
      </c>
      <c r="I1983" s="5">
        <v>0</v>
      </c>
      <c r="J1983" s="4">
        <v>45916.294594907406</v>
      </c>
    </row>
    <row r="1984" spans="1:10" x14ac:dyDescent="0.2">
      <c r="A1984" s="2" t="s">
        <v>10</v>
      </c>
      <c r="B1984" s="3" t="str">
        <f t="shared" si="40"/>
        <v>France - HCP Survey Email - June 2025</v>
      </c>
      <c r="C1984" s="3" t="str">
        <f>HYPERLINK("https://otsuka-europe-crm.veevavault.com/ui/#object/sent_email__v/VBLZ025E82GNOLB", "SE-000273638")</f>
        <v>SE-000273638</v>
      </c>
      <c r="D1984" s="4">
        <v>45916.91128472222</v>
      </c>
      <c r="E1984" s="5">
        <v>1</v>
      </c>
      <c r="F1984" s="5">
        <v>4</v>
      </c>
      <c r="G1984" s="5">
        <v>1</v>
      </c>
      <c r="H1984" s="4">
        <v>45916.911736111113</v>
      </c>
      <c r="I1984" s="5">
        <v>2</v>
      </c>
      <c r="J1984" s="4">
        <v>45916.294293981482</v>
      </c>
    </row>
    <row r="1985" spans="1:10" x14ac:dyDescent="0.2">
      <c r="A1985" s="2" t="s">
        <v>10</v>
      </c>
      <c r="B1985" s="3" t="str">
        <f t="shared" ref="B1985:B2048" si="41">HYPERLINK("https://otsuka-europe-crm.veevavault.com/ui/#object/approved_document__v/V5OZ025E82TMV97", "France - HCP Survey Email - June 2025")</f>
        <v>France - HCP Survey Email - June 2025</v>
      </c>
      <c r="C1985" s="3" t="str">
        <f>HYPERLINK("https://otsuka-europe-crm.veevavault.com/ui/#object/sent_email__v/VBLZ025E82GNOLC", "SE-000273639")</f>
        <v>SE-000273639</v>
      </c>
      <c r="D1985" s="4" t="s">
        <v>11</v>
      </c>
      <c r="E1985" s="5">
        <v>0</v>
      </c>
      <c r="F1985" s="5">
        <v>0</v>
      </c>
      <c r="G1985" s="5">
        <v>0</v>
      </c>
      <c r="H1985" s="4" t="s">
        <v>11</v>
      </c>
      <c r="I1985" s="5">
        <v>0</v>
      </c>
      <c r="J1985" s="4">
        <v>45916.294942129629</v>
      </c>
    </row>
    <row r="1986" spans="1:10" x14ac:dyDescent="0.2">
      <c r="A1986" s="2" t="s">
        <v>10</v>
      </c>
      <c r="B1986" s="3" t="str">
        <f t="shared" si="41"/>
        <v>France - HCP Survey Email - June 2025</v>
      </c>
      <c r="C1986" s="3" t="str">
        <f>HYPERLINK("https://otsuka-europe-crm.veevavault.com/ui/#object/sent_email__v/VBLZ025E82GNOLD", "SE-000273640")</f>
        <v>SE-000273640</v>
      </c>
      <c r="D1986" s="4" t="s">
        <v>11</v>
      </c>
      <c r="E1986" s="5">
        <v>0</v>
      </c>
      <c r="F1986" s="5">
        <v>0</v>
      </c>
      <c r="G1986" s="5">
        <v>0</v>
      </c>
      <c r="H1986" s="4" t="s">
        <v>11</v>
      </c>
      <c r="I1986" s="5">
        <v>0</v>
      </c>
      <c r="J1986" s="4">
        <v>45916.294733796298</v>
      </c>
    </row>
    <row r="1987" spans="1:10" x14ac:dyDescent="0.2">
      <c r="A1987" s="2" t="s">
        <v>10</v>
      </c>
      <c r="B1987" s="3" t="str">
        <f t="shared" si="41"/>
        <v>France - HCP Survey Email - June 2025</v>
      </c>
      <c r="C1987" s="3" t="str">
        <f>HYPERLINK("https://otsuka-europe-crm.veevavault.com/ui/#object/sent_email__v/VBLZ025E82GNOLE", "SE-000273641")</f>
        <v>SE-000273641</v>
      </c>
      <c r="D1987" s="4" t="s">
        <v>11</v>
      </c>
      <c r="E1987" s="5">
        <v>0</v>
      </c>
      <c r="F1987" s="5">
        <v>0</v>
      </c>
      <c r="G1987" s="5">
        <v>0</v>
      </c>
      <c r="H1987" s="4" t="s">
        <v>11</v>
      </c>
      <c r="I1987" s="5">
        <v>0</v>
      </c>
      <c r="J1987" s="4">
        <v>45916.294374999998</v>
      </c>
    </row>
    <row r="1988" spans="1:10" x14ac:dyDescent="0.2">
      <c r="A1988" s="2" t="s">
        <v>10</v>
      </c>
      <c r="B1988" s="3" t="str">
        <f t="shared" si="41"/>
        <v>France - HCP Survey Email - June 2025</v>
      </c>
      <c r="C1988" s="3" t="str">
        <f>HYPERLINK("https://otsuka-europe-crm.veevavault.com/ui/#object/sent_email__v/VBLZ025E82GNOLF", "SE-000273642")</f>
        <v>SE-000273642</v>
      </c>
      <c r="D1988" s="4">
        <v>45918.784375000003</v>
      </c>
      <c r="E1988" s="5">
        <v>1</v>
      </c>
      <c r="F1988" s="5">
        <v>1</v>
      </c>
      <c r="G1988" s="5">
        <v>1</v>
      </c>
      <c r="H1988" s="4">
        <v>45918.78502314815</v>
      </c>
      <c r="I1988" s="5">
        <v>4</v>
      </c>
      <c r="J1988" s="4">
        <v>45916.294282407405</v>
      </c>
    </row>
    <row r="1989" spans="1:10" x14ac:dyDescent="0.2">
      <c r="A1989" s="2" t="s">
        <v>10</v>
      </c>
      <c r="B1989" s="3" t="str">
        <f t="shared" si="41"/>
        <v>France - HCP Survey Email - June 2025</v>
      </c>
      <c r="C1989" s="3" t="str">
        <f>HYPERLINK("https://otsuka-europe-crm.veevavault.com/ui/#object/sent_email__v/VBLZ025E82GNOLG", "SE-000273643")</f>
        <v>SE-000273643</v>
      </c>
      <c r="D1989" s="4" t="s">
        <v>11</v>
      </c>
      <c r="E1989" s="5">
        <v>0</v>
      </c>
      <c r="F1989" s="5">
        <v>0</v>
      </c>
      <c r="G1989" s="5">
        <v>0</v>
      </c>
      <c r="H1989" s="4" t="s">
        <v>11</v>
      </c>
      <c r="I1989" s="5">
        <v>0</v>
      </c>
      <c r="J1989" s="4">
        <v>45916.29482638889</v>
      </c>
    </row>
    <row r="1990" spans="1:10" x14ac:dyDescent="0.2">
      <c r="A1990" s="2" t="s">
        <v>10</v>
      </c>
      <c r="B1990" s="3" t="str">
        <f t="shared" si="41"/>
        <v>France - HCP Survey Email - June 2025</v>
      </c>
      <c r="C1990" s="3" t="str">
        <f>HYPERLINK("https://otsuka-europe-crm.veevavault.com/ui/#object/sent_email__v/VBLZ025E82GNOLH", "SE-000273644")</f>
        <v>SE-000273644</v>
      </c>
      <c r="D1990" s="4" t="s">
        <v>11</v>
      </c>
      <c r="E1990" s="5">
        <v>0</v>
      </c>
      <c r="F1990" s="5">
        <v>0</v>
      </c>
      <c r="G1990" s="5">
        <v>0</v>
      </c>
      <c r="H1990" s="4" t="s">
        <v>11</v>
      </c>
      <c r="I1990" s="5">
        <v>0</v>
      </c>
      <c r="J1990" s="4">
        <v>45916.294733796298</v>
      </c>
    </row>
    <row r="1991" spans="1:10" x14ac:dyDescent="0.2">
      <c r="A1991" s="2" t="s">
        <v>10</v>
      </c>
      <c r="B1991" s="3" t="str">
        <f t="shared" si="41"/>
        <v>France - HCP Survey Email - June 2025</v>
      </c>
      <c r="C1991" s="3" t="str">
        <f>HYPERLINK("https://otsuka-europe-crm.veevavault.com/ui/#object/sent_email__v/VBLZ025E82GNOLI", "SE-000273645")</f>
        <v>SE-000273645</v>
      </c>
      <c r="D1991" s="4" t="s">
        <v>11</v>
      </c>
      <c r="E1991" s="5">
        <v>0</v>
      </c>
      <c r="F1991" s="5">
        <v>0</v>
      </c>
      <c r="G1991" s="5">
        <v>0</v>
      </c>
      <c r="H1991" s="4" t="s">
        <v>11</v>
      </c>
      <c r="I1991" s="5">
        <v>0</v>
      </c>
      <c r="J1991" s="4">
        <v>45916.294351851851</v>
      </c>
    </row>
    <row r="1992" spans="1:10" x14ac:dyDescent="0.2">
      <c r="A1992" s="2" t="s">
        <v>10</v>
      </c>
      <c r="B1992" s="3" t="str">
        <f t="shared" si="41"/>
        <v>France - HCP Survey Email - June 2025</v>
      </c>
      <c r="C1992" s="3" t="str">
        <f>HYPERLINK("https://otsuka-europe-crm.veevavault.com/ui/#object/sent_email__v/VBLZ025E82GNOLJ", "SE-000273646")</f>
        <v>SE-000273646</v>
      </c>
      <c r="D1992" s="4">
        <v>45916.298368055555</v>
      </c>
      <c r="E1992" s="5">
        <v>1</v>
      </c>
      <c r="F1992" s="5">
        <v>1</v>
      </c>
      <c r="G1992" s="5">
        <v>1</v>
      </c>
      <c r="H1992" s="4">
        <v>45916.301921296297</v>
      </c>
      <c r="I1992" s="5">
        <v>2</v>
      </c>
      <c r="J1992" s="4">
        <v>45916.294930555552</v>
      </c>
    </row>
    <row r="1993" spans="1:10" x14ac:dyDescent="0.2">
      <c r="A1993" s="2" t="s">
        <v>10</v>
      </c>
      <c r="B1993" s="3" t="str">
        <f t="shared" si="41"/>
        <v>France - HCP Survey Email - June 2025</v>
      </c>
      <c r="C1993" s="3" t="str">
        <f>HYPERLINK("https://otsuka-europe-crm.veevavault.com/ui/#object/sent_email__v/VBLZ025E82GNOLK", "SE-000273647")</f>
        <v>SE-000273647</v>
      </c>
      <c r="D1993" s="4" t="s">
        <v>11</v>
      </c>
      <c r="E1993" s="5">
        <v>0</v>
      </c>
      <c r="F1993" s="5">
        <v>0</v>
      </c>
      <c r="G1993" s="5">
        <v>0</v>
      </c>
      <c r="H1993" s="4" t="s">
        <v>11</v>
      </c>
      <c r="I1993" s="5">
        <v>0</v>
      </c>
      <c r="J1993" s="4">
        <v>45916.294814814813</v>
      </c>
    </row>
    <row r="1994" spans="1:10" x14ac:dyDescent="0.2">
      <c r="A1994" s="2" t="s">
        <v>10</v>
      </c>
      <c r="B1994" s="3" t="str">
        <f t="shared" si="41"/>
        <v>France - HCP Survey Email - June 2025</v>
      </c>
      <c r="C1994" s="3" t="str">
        <f>HYPERLINK("https://otsuka-europe-crm.veevavault.com/ui/#object/sent_email__v/VBLZ025E82GNOLL", "SE-000273648")</f>
        <v>SE-000273648</v>
      </c>
      <c r="D1994" s="4">
        <v>45916.399930555555</v>
      </c>
      <c r="E1994" s="5">
        <v>1</v>
      </c>
      <c r="F1994" s="5">
        <v>1</v>
      </c>
      <c r="G1994" s="5">
        <v>0</v>
      </c>
      <c r="H1994" s="4" t="s">
        <v>11</v>
      </c>
      <c r="I1994" s="5">
        <v>0</v>
      </c>
      <c r="J1994" s="4">
        <v>45916.29451388889</v>
      </c>
    </row>
    <row r="1995" spans="1:10" x14ac:dyDescent="0.2">
      <c r="A1995" s="2" t="s">
        <v>10</v>
      </c>
      <c r="B1995" s="3" t="str">
        <f t="shared" si="41"/>
        <v>France - HCP Survey Email - June 2025</v>
      </c>
      <c r="C1995" s="3" t="str">
        <f>HYPERLINK("https://otsuka-europe-crm.veevavault.com/ui/#object/sent_email__v/VBLZ025E82GNOLM", "SE-000273649")</f>
        <v>SE-000273649</v>
      </c>
      <c r="D1995" s="4" t="s">
        <v>11</v>
      </c>
      <c r="E1995" s="5">
        <v>0</v>
      </c>
      <c r="F1995" s="5">
        <v>0</v>
      </c>
      <c r="G1995" s="5">
        <v>0</v>
      </c>
      <c r="H1995" s="4" t="s">
        <v>11</v>
      </c>
      <c r="I1995" s="5">
        <v>0</v>
      </c>
      <c r="J1995" s="4">
        <v>45916.294236111113</v>
      </c>
    </row>
    <row r="1996" spans="1:10" x14ac:dyDescent="0.2">
      <c r="A1996" s="2" t="s">
        <v>10</v>
      </c>
      <c r="B1996" s="3" t="str">
        <f t="shared" si="41"/>
        <v>France - HCP Survey Email - June 2025</v>
      </c>
      <c r="C1996" s="3" t="str">
        <f>HYPERLINK("https://otsuka-europe-crm.veevavault.com/ui/#object/sent_email__v/VBLZ025E82GNOLN", "SE-000273650")</f>
        <v>SE-000273650</v>
      </c>
      <c r="D1996" s="4" t="s">
        <v>11</v>
      </c>
      <c r="E1996" s="5">
        <v>0</v>
      </c>
      <c r="F1996" s="5">
        <v>0</v>
      </c>
      <c r="G1996" s="5">
        <v>0</v>
      </c>
      <c r="H1996" s="4" t="s">
        <v>11</v>
      </c>
      <c r="I1996" s="5">
        <v>0</v>
      </c>
      <c r="J1996" s="4">
        <v>45916.294965277775</v>
      </c>
    </row>
    <row r="1997" spans="1:10" x14ac:dyDescent="0.2">
      <c r="A1997" s="2" t="s">
        <v>10</v>
      </c>
      <c r="B1997" s="3" t="str">
        <f t="shared" si="41"/>
        <v>France - HCP Survey Email - June 2025</v>
      </c>
      <c r="C1997" s="3" t="str">
        <f>HYPERLINK("https://otsuka-europe-crm.veevavault.com/ui/#object/sent_email__v/VBLZ025E82GNOLO", "SE-000273651")</f>
        <v>SE-000273651</v>
      </c>
      <c r="D1997" s="4" t="s">
        <v>11</v>
      </c>
      <c r="E1997" s="5">
        <v>0</v>
      </c>
      <c r="F1997" s="5">
        <v>0</v>
      </c>
      <c r="G1997" s="5">
        <v>0</v>
      </c>
      <c r="H1997" s="4" t="s">
        <v>11</v>
      </c>
      <c r="I1997" s="5">
        <v>0</v>
      </c>
      <c r="J1997" s="4">
        <v>45916.294722222221</v>
      </c>
    </row>
    <row r="1998" spans="1:10" x14ac:dyDescent="0.2">
      <c r="A1998" s="2" t="s">
        <v>10</v>
      </c>
      <c r="B1998" s="3" t="str">
        <f t="shared" si="41"/>
        <v>France - HCP Survey Email - June 2025</v>
      </c>
      <c r="C1998" s="3" t="str">
        <f>HYPERLINK("https://otsuka-europe-crm.veevavault.com/ui/#object/sent_email__v/VBLZ025E82GNOLP", "SE-000273652")</f>
        <v>SE-000273652</v>
      </c>
      <c r="D1998" s="4" t="s">
        <v>11</v>
      </c>
      <c r="E1998" s="5">
        <v>0</v>
      </c>
      <c r="F1998" s="5">
        <v>0</v>
      </c>
      <c r="G1998" s="5">
        <v>0</v>
      </c>
      <c r="H1998" s="4" t="s">
        <v>11</v>
      </c>
      <c r="I1998" s="5">
        <v>0</v>
      </c>
      <c r="J1998" s="4">
        <v>45916.294421296298</v>
      </c>
    </row>
    <row r="1999" spans="1:10" x14ac:dyDescent="0.2">
      <c r="A1999" s="2" t="s">
        <v>10</v>
      </c>
      <c r="B1999" s="3" t="str">
        <f t="shared" si="41"/>
        <v>France - HCP Survey Email - June 2025</v>
      </c>
      <c r="C1999" s="3" t="str">
        <f>HYPERLINK("https://otsuka-europe-crm.veevavault.com/ui/#object/sent_email__v/VBLZ025E82GNOLQ", "SE-000273653")</f>
        <v>SE-000273653</v>
      </c>
      <c r="D1999" s="4" t="s">
        <v>11</v>
      </c>
      <c r="E1999" s="5">
        <v>0</v>
      </c>
      <c r="F1999" s="5">
        <v>0</v>
      </c>
      <c r="G1999" s="5">
        <v>0</v>
      </c>
      <c r="H1999" s="4" t="s">
        <v>11</v>
      </c>
      <c r="I1999" s="5">
        <v>0</v>
      </c>
      <c r="J1999" s="4">
        <v>45916.294293981482</v>
      </c>
    </row>
    <row r="2000" spans="1:10" x14ac:dyDescent="0.2">
      <c r="A2000" s="2" t="s">
        <v>10</v>
      </c>
      <c r="B2000" s="3" t="str">
        <f t="shared" si="41"/>
        <v>France - HCP Survey Email - June 2025</v>
      </c>
      <c r="C2000" s="3" t="str">
        <f>HYPERLINK("https://otsuka-europe-crm.veevavault.com/ui/#object/sent_email__v/VBLZ025E82GNOLR", "SE-000273654")</f>
        <v>SE-000273654</v>
      </c>
      <c r="D2000" s="4" t="s">
        <v>11</v>
      </c>
      <c r="E2000" s="5">
        <v>0</v>
      </c>
      <c r="F2000" s="5">
        <v>0</v>
      </c>
      <c r="G2000" s="5">
        <v>0</v>
      </c>
      <c r="H2000" s="4" t="s">
        <v>11</v>
      </c>
      <c r="I2000" s="5">
        <v>0</v>
      </c>
      <c r="J2000" s="4">
        <v>45916.29483796296</v>
      </c>
    </row>
    <row r="2001" spans="1:10" x14ac:dyDescent="0.2">
      <c r="A2001" s="2" t="s">
        <v>10</v>
      </c>
      <c r="B2001" s="3" t="str">
        <f t="shared" si="41"/>
        <v>France - HCP Survey Email - June 2025</v>
      </c>
      <c r="C2001" s="3" t="str">
        <f>HYPERLINK("https://otsuka-europe-crm.veevavault.com/ui/#object/sent_email__v/VBLZ025E82GNOLS", "SE-000273655")</f>
        <v>SE-000273655</v>
      </c>
      <c r="D2001" s="4" t="s">
        <v>11</v>
      </c>
      <c r="E2001" s="5">
        <v>0</v>
      </c>
      <c r="F2001" s="5">
        <v>0</v>
      </c>
      <c r="G2001" s="5">
        <v>0</v>
      </c>
      <c r="H2001" s="4" t="s">
        <v>11</v>
      </c>
      <c r="I2001" s="5">
        <v>0</v>
      </c>
      <c r="J2001" s="4">
        <v>45916.294537037036</v>
      </c>
    </row>
    <row r="2002" spans="1:10" x14ac:dyDescent="0.2">
      <c r="A2002" s="2" t="s">
        <v>10</v>
      </c>
      <c r="B2002" s="3" t="str">
        <f t="shared" si="41"/>
        <v>France - HCP Survey Email - June 2025</v>
      </c>
      <c r="C2002" s="3" t="str">
        <f>HYPERLINK("https://otsuka-europe-crm.veevavault.com/ui/#object/sent_email__v/VBLZ025E82GNOLT", "SE-000273656")</f>
        <v>SE-000273656</v>
      </c>
      <c r="D2002" s="4" t="s">
        <v>11</v>
      </c>
      <c r="E2002" s="5">
        <v>0</v>
      </c>
      <c r="F2002" s="5">
        <v>0</v>
      </c>
      <c r="G2002" s="5">
        <v>0</v>
      </c>
      <c r="H2002" s="4" t="s">
        <v>11</v>
      </c>
      <c r="I2002" s="5">
        <v>0</v>
      </c>
      <c r="J2002" s="4">
        <v>45916.294421296298</v>
      </c>
    </row>
    <row r="2003" spans="1:10" x14ac:dyDescent="0.2">
      <c r="A2003" s="2" t="s">
        <v>10</v>
      </c>
      <c r="B2003" s="3" t="str">
        <f t="shared" si="41"/>
        <v>France - HCP Survey Email - June 2025</v>
      </c>
      <c r="C2003" s="3" t="str">
        <f>HYPERLINK("https://otsuka-europe-crm.veevavault.com/ui/#object/sent_email__v/VBLZ025E82GNOLU", "SE-000273657")</f>
        <v>SE-000273657</v>
      </c>
      <c r="D2003" s="4" t="s">
        <v>11</v>
      </c>
      <c r="E2003" s="5">
        <v>0</v>
      </c>
      <c r="F2003" s="5">
        <v>0</v>
      </c>
      <c r="G2003" s="5">
        <v>0</v>
      </c>
      <c r="H2003" s="4" t="s">
        <v>11</v>
      </c>
      <c r="I2003" s="5">
        <v>0</v>
      </c>
      <c r="J2003" s="4">
        <v>45916.295057870368</v>
      </c>
    </row>
    <row r="2004" spans="1:10" x14ac:dyDescent="0.2">
      <c r="A2004" s="2" t="s">
        <v>10</v>
      </c>
      <c r="B2004" s="3" t="str">
        <f t="shared" si="41"/>
        <v>France - HCP Survey Email - June 2025</v>
      </c>
      <c r="C2004" s="3" t="str">
        <f>HYPERLINK("https://otsuka-europe-crm.veevavault.com/ui/#object/sent_email__v/VBLZ025E82GNOLV", "SE-000273658")</f>
        <v>SE-000273658</v>
      </c>
      <c r="D2004" s="4">
        <v>45918.667638888888</v>
      </c>
      <c r="E2004" s="5">
        <v>1</v>
      </c>
      <c r="F2004" s="5">
        <v>1</v>
      </c>
      <c r="G2004" s="5">
        <v>1</v>
      </c>
      <c r="H2004" s="4">
        <v>45918.667638888888</v>
      </c>
      <c r="I2004" s="5">
        <v>1</v>
      </c>
      <c r="J2004" s="4">
        <v>45916.294756944444</v>
      </c>
    </row>
    <row r="2005" spans="1:10" x14ac:dyDescent="0.2">
      <c r="A2005" s="2" t="s">
        <v>10</v>
      </c>
      <c r="B2005" s="3" t="str">
        <f t="shared" si="41"/>
        <v>France - HCP Survey Email - June 2025</v>
      </c>
      <c r="C2005" s="3" t="str">
        <f>HYPERLINK("https://otsuka-europe-crm.veevavault.com/ui/#object/sent_email__v/VBLZ025E82GNOLW", "SE-000273659")</f>
        <v>SE-000273659</v>
      </c>
      <c r="D2005" s="4">
        <v>45916.774444444447</v>
      </c>
      <c r="E2005" s="5">
        <v>1</v>
      </c>
      <c r="F2005" s="5">
        <v>1</v>
      </c>
      <c r="G2005" s="5">
        <v>0</v>
      </c>
      <c r="H2005" s="4" t="s">
        <v>11</v>
      </c>
      <c r="I2005" s="5">
        <v>0</v>
      </c>
      <c r="J2005" s="4">
        <v>45916.294560185182</v>
      </c>
    </row>
    <row r="2006" spans="1:10" x14ac:dyDescent="0.2">
      <c r="A2006" s="2" t="s">
        <v>10</v>
      </c>
      <c r="B2006" s="3" t="str">
        <f t="shared" si="41"/>
        <v>France - HCP Survey Email - June 2025</v>
      </c>
      <c r="C2006" s="3" t="str">
        <f>HYPERLINK("https://otsuka-europe-crm.veevavault.com/ui/#object/sent_email__v/VBLZ025E82GNOLX", "SE-000273660")</f>
        <v>SE-000273660</v>
      </c>
      <c r="D2006" s="4" t="s">
        <v>11</v>
      </c>
      <c r="E2006" s="5">
        <v>0</v>
      </c>
      <c r="F2006" s="5">
        <v>0</v>
      </c>
      <c r="G2006" s="5">
        <v>0</v>
      </c>
      <c r="H2006" s="4" t="s">
        <v>11</v>
      </c>
      <c r="I2006" s="5">
        <v>0</v>
      </c>
      <c r="J2006" s="4">
        <v>45916.294374999998</v>
      </c>
    </row>
    <row r="2007" spans="1:10" x14ac:dyDescent="0.2">
      <c r="A2007" s="2" t="s">
        <v>10</v>
      </c>
      <c r="B2007" s="3" t="str">
        <f t="shared" si="41"/>
        <v>France - HCP Survey Email - June 2025</v>
      </c>
      <c r="C2007" s="3" t="str">
        <f>HYPERLINK("https://otsuka-europe-crm.veevavault.com/ui/#object/sent_email__v/VBLZ025E82GNOLY", "SE-000273661")</f>
        <v>SE-000273661</v>
      </c>
      <c r="D2007" s="4" t="s">
        <v>11</v>
      </c>
      <c r="E2007" s="5">
        <v>0</v>
      </c>
      <c r="F2007" s="5">
        <v>0</v>
      </c>
      <c r="G2007" s="5">
        <v>0</v>
      </c>
      <c r="H2007" s="4" t="s">
        <v>11</v>
      </c>
      <c r="I2007" s="5">
        <v>0</v>
      </c>
      <c r="J2007" s="4">
        <v>45916.294942129629</v>
      </c>
    </row>
    <row r="2008" spans="1:10" x14ac:dyDescent="0.2">
      <c r="A2008" s="2" t="s">
        <v>10</v>
      </c>
      <c r="B2008" s="3" t="str">
        <f t="shared" si="41"/>
        <v>France - HCP Survey Email - June 2025</v>
      </c>
      <c r="C2008" s="3" t="str">
        <f>HYPERLINK("https://otsuka-europe-crm.veevavault.com/ui/#object/sent_email__v/VBLZ025E82GNOLZ", "SE-000273662")</f>
        <v>SE-000273662</v>
      </c>
      <c r="D2008" s="4" t="s">
        <v>11</v>
      </c>
      <c r="E2008" s="5">
        <v>0</v>
      </c>
      <c r="F2008" s="5">
        <v>0</v>
      </c>
      <c r="G2008" s="5">
        <v>0</v>
      </c>
      <c r="H2008" s="4" t="s">
        <v>11</v>
      </c>
      <c r="I2008" s="5">
        <v>0</v>
      </c>
      <c r="J2008" s="4">
        <v>45916.294814814813</v>
      </c>
    </row>
    <row r="2009" spans="1:10" x14ac:dyDescent="0.2">
      <c r="A2009" s="2" t="s">
        <v>10</v>
      </c>
      <c r="B2009" s="3" t="str">
        <f t="shared" si="41"/>
        <v>France - HCP Survey Email - June 2025</v>
      </c>
      <c r="C2009" s="3" t="str">
        <f>HYPERLINK("https://otsuka-europe-crm.veevavault.com/ui/#object/sent_email__v/VBLZ025E82GNOM0", "SE-000273663")</f>
        <v>SE-000273663</v>
      </c>
      <c r="D2009" s="4" t="s">
        <v>11</v>
      </c>
      <c r="E2009" s="5">
        <v>0</v>
      </c>
      <c r="F2009" s="5">
        <v>0</v>
      </c>
      <c r="G2009" s="5">
        <v>0</v>
      </c>
      <c r="H2009" s="4" t="s">
        <v>11</v>
      </c>
      <c r="I2009" s="5">
        <v>0</v>
      </c>
      <c r="J2009" s="4">
        <v>45916.294560185182</v>
      </c>
    </row>
    <row r="2010" spans="1:10" x14ac:dyDescent="0.2">
      <c r="A2010" s="2" t="s">
        <v>10</v>
      </c>
      <c r="B2010" s="3" t="str">
        <f t="shared" si="41"/>
        <v>France - HCP Survey Email - June 2025</v>
      </c>
      <c r="C2010" s="3" t="str">
        <f>HYPERLINK("https://otsuka-europe-crm.veevavault.com/ui/#object/sent_email__v/VBLZ025E82GNOM2", "SE-000273665")</f>
        <v>SE-000273665</v>
      </c>
      <c r="D2010" s="4">
        <v>45916.335196759261</v>
      </c>
      <c r="E2010" s="5">
        <v>1</v>
      </c>
      <c r="F2010" s="5">
        <v>1</v>
      </c>
      <c r="G2010" s="5">
        <v>1</v>
      </c>
      <c r="H2010" s="4">
        <v>45916.335196759261</v>
      </c>
      <c r="I2010" s="5">
        <v>1</v>
      </c>
      <c r="J2010" s="4">
        <v>45916.294953703706</v>
      </c>
    </row>
    <row r="2011" spans="1:10" x14ac:dyDescent="0.2">
      <c r="A2011" s="2" t="s">
        <v>10</v>
      </c>
      <c r="B2011" s="3" t="str">
        <f t="shared" si="41"/>
        <v>France - HCP Survey Email - June 2025</v>
      </c>
      <c r="C2011" s="3" t="str">
        <f>HYPERLINK("https://otsuka-europe-crm.veevavault.com/ui/#object/sent_email__v/VBLZ025E82GNOM3", "SE-000273666")</f>
        <v>SE-000273666</v>
      </c>
      <c r="D2011" s="4" t="s">
        <v>11</v>
      </c>
      <c r="E2011" s="5">
        <v>0</v>
      </c>
      <c r="F2011" s="5">
        <v>0</v>
      </c>
      <c r="G2011" s="5">
        <v>0</v>
      </c>
      <c r="H2011" s="4" t="s">
        <v>11</v>
      </c>
      <c r="I2011" s="5">
        <v>0</v>
      </c>
      <c r="J2011" s="4">
        <v>45916.294803240744</v>
      </c>
    </row>
    <row r="2012" spans="1:10" x14ac:dyDescent="0.2">
      <c r="A2012" s="2" t="s">
        <v>10</v>
      </c>
      <c r="B2012" s="3" t="str">
        <f t="shared" si="41"/>
        <v>France - HCP Survey Email - June 2025</v>
      </c>
      <c r="C2012" s="3" t="str">
        <f>HYPERLINK("https://otsuka-europe-crm.veevavault.com/ui/#object/sent_email__v/VBLZ025E82GNOM4", "SE-000273667")</f>
        <v>SE-000273667</v>
      </c>
      <c r="D2012" s="4" t="s">
        <v>11</v>
      </c>
      <c r="E2012" s="5">
        <v>0</v>
      </c>
      <c r="F2012" s="5">
        <v>0</v>
      </c>
      <c r="G2012" s="5">
        <v>0</v>
      </c>
      <c r="H2012" s="4" t="s">
        <v>11</v>
      </c>
      <c r="I2012" s="5">
        <v>0</v>
      </c>
      <c r="J2012" s="4">
        <v>45916.294432870367</v>
      </c>
    </row>
    <row r="2013" spans="1:10" x14ac:dyDescent="0.2">
      <c r="A2013" s="2" t="s">
        <v>10</v>
      </c>
      <c r="B2013" s="3" t="str">
        <f t="shared" si="41"/>
        <v>France - HCP Survey Email - June 2025</v>
      </c>
      <c r="C2013" s="3" t="str">
        <f>HYPERLINK("https://otsuka-europe-crm.veevavault.com/ui/#object/sent_email__v/VBLZ025E82GNOM5", "SE-000273668")</f>
        <v>SE-000273668</v>
      </c>
      <c r="D2013" s="4" t="s">
        <v>11</v>
      </c>
      <c r="E2013" s="5">
        <v>0</v>
      </c>
      <c r="F2013" s="5">
        <v>0</v>
      </c>
      <c r="G2013" s="5">
        <v>0</v>
      </c>
      <c r="H2013" s="4" t="s">
        <v>11</v>
      </c>
      <c r="I2013" s="5">
        <v>0</v>
      </c>
      <c r="J2013" s="4">
        <v>45916.294247685182</v>
      </c>
    </row>
    <row r="2014" spans="1:10" x14ac:dyDescent="0.2">
      <c r="A2014" s="2" t="s">
        <v>10</v>
      </c>
      <c r="B2014" s="3" t="str">
        <f t="shared" si="41"/>
        <v>France - HCP Survey Email - June 2025</v>
      </c>
      <c r="C2014" s="3" t="str">
        <f>HYPERLINK("https://otsuka-europe-crm.veevavault.com/ui/#object/sent_email__v/VBLZ025E82GNOM6", "SE-000273669")</f>
        <v>SE-000273669</v>
      </c>
      <c r="D2014" s="4" t="s">
        <v>11</v>
      </c>
      <c r="E2014" s="5">
        <v>0</v>
      </c>
      <c r="F2014" s="5">
        <v>0</v>
      </c>
      <c r="G2014" s="5">
        <v>0</v>
      </c>
      <c r="H2014" s="4" t="s">
        <v>11</v>
      </c>
      <c r="I2014" s="5">
        <v>0</v>
      </c>
      <c r="J2014" s="4">
        <v>45916.29482638889</v>
      </c>
    </row>
    <row r="2015" spans="1:10" x14ac:dyDescent="0.2">
      <c r="A2015" s="2" t="s">
        <v>10</v>
      </c>
      <c r="B2015" s="3" t="str">
        <f t="shared" si="41"/>
        <v>France - HCP Survey Email - June 2025</v>
      </c>
      <c r="C2015" s="3" t="str">
        <f>HYPERLINK("https://otsuka-europe-crm.veevavault.com/ui/#object/sent_email__v/VBLZ025E82GNOM7", "SE-000273670")</f>
        <v>SE-000273670</v>
      </c>
      <c r="D2015" s="4" t="s">
        <v>11</v>
      </c>
      <c r="E2015" s="5">
        <v>0</v>
      </c>
      <c r="F2015" s="5">
        <v>0</v>
      </c>
      <c r="G2015" s="5">
        <v>0</v>
      </c>
      <c r="H2015" s="4" t="s">
        <v>11</v>
      </c>
      <c r="I2015" s="5">
        <v>0</v>
      </c>
      <c r="J2015" s="4">
        <v>45916.294594907406</v>
      </c>
    </row>
    <row r="2016" spans="1:10" x14ac:dyDescent="0.2">
      <c r="A2016" s="2" t="s">
        <v>10</v>
      </c>
      <c r="B2016" s="3" t="str">
        <f t="shared" si="41"/>
        <v>France - HCP Survey Email - June 2025</v>
      </c>
      <c r="C2016" s="3" t="str">
        <f>HYPERLINK("https://otsuka-europe-crm.veevavault.com/ui/#object/sent_email__v/VBLZ025E82GNOM8", "SE-000273671")</f>
        <v>SE-000273671</v>
      </c>
      <c r="D2016" s="4" t="s">
        <v>11</v>
      </c>
      <c r="E2016" s="5">
        <v>0</v>
      </c>
      <c r="F2016" s="5">
        <v>0</v>
      </c>
      <c r="G2016" s="5">
        <v>0</v>
      </c>
      <c r="H2016" s="4" t="s">
        <v>11</v>
      </c>
      <c r="I2016" s="5">
        <v>0</v>
      </c>
      <c r="J2016" s="4">
        <v>45916.294421296298</v>
      </c>
    </row>
    <row r="2017" spans="1:10" x14ac:dyDescent="0.2">
      <c r="A2017" s="2" t="s">
        <v>10</v>
      </c>
      <c r="B2017" s="3" t="str">
        <f t="shared" si="41"/>
        <v>France - HCP Survey Email - June 2025</v>
      </c>
      <c r="C2017" s="3" t="str">
        <f>HYPERLINK("https://otsuka-europe-crm.veevavault.com/ui/#object/sent_email__v/VBLZ025E82GNOM9", "SE-000273672")</f>
        <v>SE-000273672</v>
      </c>
      <c r="D2017" s="4">
        <v>45916.345925925925</v>
      </c>
      <c r="E2017" s="5">
        <v>1</v>
      </c>
      <c r="F2017" s="5">
        <v>1</v>
      </c>
      <c r="G2017" s="5">
        <v>0</v>
      </c>
      <c r="H2017" s="4" t="s">
        <v>11</v>
      </c>
      <c r="I2017" s="5">
        <v>0</v>
      </c>
      <c r="J2017" s="4">
        <v>45916.294976851852</v>
      </c>
    </row>
    <row r="2018" spans="1:10" x14ac:dyDescent="0.2">
      <c r="A2018" s="2" t="s">
        <v>10</v>
      </c>
      <c r="B2018" s="3" t="str">
        <f t="shared" si="41"/>
        <v>France - HCP Survey Email - June 2025</v>
      </c>
      <c r="C2018" s="3" t="str">
        <f>HYPERLINK("https://otsuka-europe-crm.veevavault.com/ui/#object/sent_email__v/VBLZ025E82GNOMA", "SE-000273673")</f>
        <v>SE-000273673</v>
      </c>
      <c r="D2018" s="4" t="s">
        <v>11</v>
      </c>
      <c r="E2018" s="5">
        <v>0</v>
      </c>
      <c r="F2018" s="5">
        <v>0</v>
      </c>
      <c r="G2018" s="5">
        <v>0</v>
      </c>
      <c r="H2018" s="4" t="s">
        <v>11</v>
      </c>
      <c r="I2018" s="5">
        <v>0</v>
      </c>
      <c r="J2018" s="4">
        <v>45916.294803240744</v>
      </c>
    </row>
    <row r="2019" spans="1:10" x14ac:dyDescent="0.2">
      <c r="A2019" s="2" t="s">
        <v>10</v>
      </c>
      <c r="B2019" s="3" t="str">
        <f t="shared" si="41"/>
        <v>France - HCP Survey Email - June 2025</v>
      </c>
      <c r="C2019" s="3" t="str">
        <f>HYPERLINK("https://otsuka-europe-crm.veevavault.com/ui/#object/sent_email__v/VBLZ025E82GNOMB", "SE-000273674")</f>
        <v>SE-000273674</v>
      </c>
      <c r="D2019" s="4">
        <v>45916.31622685185</v>
      </c>
      <c r="E2019" s="5">
        <v>1</v>
      </c>
      <c r="F2019" s="5">
        <v>1</v>
      </c>
      <c r="G2019" s="5">
        <v>0</v>
      </c>
      <c r="H2019" s="4" t="s">
        <v>11</v>
      </c>
      <c r="I2019" s="5">
        <v>0</v>
      </c>
      <c r="J2019" s="4">
        <v>45916.294618055559</v>
      </c>
    </row>
    <row r="2020" spans="1:10" x14ac:dyDescent="0.2">
      <c r="A2020" s="2" t="s">
        <v>10</v>
      </c>
      <c r="B2020" s="3" t="str">
        <f t="shared" si="41"/>
        <v>France - HCP Survey Email - June 2025</v>
      </c>
      <c r="C2020" s="3" t="str">
        <f>HYPERLINK("https://otsuka-europe-crm.veevavault.com/ui/#object/sent_email__v/VBLZ025E82GNOMC", "SE-000273675")</f>
        <v>SE-000273675</v>
      </c>
      <c r="D2020" s="4" t="s">
        <v>11</v>
      </c>
      <c r="E2020" s="5">
        <v>0</v>
      </c>
      <c r="F2020" s="5">
        <v>0</v>
      </c>
      <c r="G2020" s="5">
        <v>0</v>
      </c>
      <c r="H2020" s="4" t="s">
        <v>11</v>
      </c>
      <c r="I2020" s="5">
        <v>0</v>
      </c>
      <c r="J2020" s="4">
        <v>45916.294247685182</v>
      </c>
    </row>
    <row r="2021" spans="1:10" x14ac:dyDescent="0.2">
      <c r="A2021" s="2" t="s">
        <v>10</v>
      </c>
      <c r="B2021" s="3" t="str">
        <f t="shared" si="41"/>
        <v>France - HCP Survey Email - June 2025</v>
      </c>
      <c r="C2021" s="3" t="str">
        <f>HYPERLINK("https://otsuka-europe-crm.veevavault.com/ui/#object/sent_email__v/VBLZ025E82GNOMD", "SE-000273676")</f>
        <v>SE-000273676</v>
      </c>
      <c r="D2021" s="4">
        <v>45916.295578703706</v>
      </c>
      <c r="E2021" s="5">
        <v>1</v>
      </c>
      <c r="F2021" s="5">
        <v>1</v>
      </c>
      <c r="G2021" s="5">
        <v>1</v>
      </c>
      <c r="H2021" s="4">
        <v>45916.295590277776</v>
      </c>
      <c r="I2021" s="5">
        <v>2</v>
      </c>
      <c r="J2021" s="4">
        <v>45916.294942129629</v>
      </c>
    </row>
    <row r="2022" spans="1:10" x14ac:dyDescent="0.2">
      <c r="A2022" s="2" t="s">
        <v>10</v>
      </c>
      <c r="B2022" s="3" t="str">
        <f t="shared" si="41"/>
        <v>France - HCP Survey Email - June 2025</v>
      </c>
      <c r="C2022" s="3" t="str">
        <f>HYPERLINK("https://otsuka-europe-crm.veevavault.com/ui/#object/sent_email__v/VBLZ025E82GNOME", "SE-000273677")</f>
        <v>SE-000273677</v>
      </c>
      <c r="D2022" s="4" t="s">
        <v>11</v>
      </c>
      <c r="E2022" s="5">
        <v>0</v>
      </c>
      <c r="F2022" s="5">
        <v>0</v>
      </c>
      <c r="G2022" s="5">
        <v>0</v>
      </c>
      <c r="H2022" s="4" t="s">
        <v>11</v>
      </c>
      <c r="I2022" s="5">
        <v>0</v>
      </c>
      <c r="J2022" s="4">
        <v>45916.294699074075</v>
      </c>
    </row>
    <row r="2023" spans="1:10" x14ac:dyDescent="0.2">
      <c r="A2023" s="2" t="s">
        <v>10</v>
      </c>
      <c r="B2023" s="3" t="str">
        <f t="shared" si="41"/>
        <v>France - HCP Survey Email - June 2025</v>
      </c>
      <c r="C2023" s="3" t="str">
        <f>HYPERLINK("https://otsuka-europe-crm.veevavault.com/ui/#object/sent_email__v/VBLZ025E82GNOMF", "SE-000273678")</f>
        <v>SE-000273678</v>
      </c>
      <c r="D2023" s="4" t="s">
        <v>11</v>
      </c>
      <c r="E2023" s="5">
        <v>0</v>
      </c>
      <c r="F2023" s="5">
        <v>0</v>
      </c>
      <c r="G2023" s="5">
        <v>0</v>
      </c>
      <c r="H2023" s="4" t="s">
        <v>11</v>
      </c>
      <c r="I2023" s="5">
        <v>0</v>
      </c>
      <c r="J2023" s="4">
        <v>45916.294398148151</v>
      </c>
    </row>
    <row r="2024" spans="1:10" x14ac:dyDescent="0.2">
      <c r="A2024" s="2" t="s">
        <v>10</v>
      </c>
      <c r="B2024" s="3" t="str">
        <f t="shared" si="41"/>
        <v>France - HCP Survey Email - June 2025</v>
      </c>
      <c r="C2024" s="3" t="str">
        <f>HYPERLINK("https://otsuka-europe-crm.veevavault.com/ui/#object/sent_email__v/VBLZ025E82GNOMG", "SE-000273679")</f>
        <v>SE-000273679</v>
      </c>
      <c r="D2024" s="4">
        <v>45917.850914351853</v>
      </c>
      <c r="E2024" s="5">
        <v>1</v>
      </c>
      <c r="F2024" s="5">
        <v>1</v>
      </c>
      <c r="G2024" s="5">
        <v>0</v>
      </c>
      <c r="H2024" s="4" t="s">
        <v>11</v>
      </c>
      <c r="I2024" s="5">
        <v>0</v>
      </c>
      <c r="J2024" s="4">
        <v>45916.294270833336</v>
      </c>
    </row>
    <row r="2025" spans="1:10" x14ac:dyDescent="0.2">
      <c r="A2025" s="2" t="s">
        <v>10</v>
      </c>
      <c r="B2025" s="3" t="str">
        <f t="shared" si="41"/>
        <v>France - HCP Survey Email - June 2025</v>
      </c>
      <c r="C2025" s="3" t="str">
        <f>HYPERLINK("https://otsuka-europe-crm.veevavault.com/ui/#object/sent_email__v/VBLZ025E82GNOMH", "SE-000273680")</f>
        <v>SE-000273680</v>
      </c>
      <c r="D2025" s="4" t="s">
        <v>11</v>
      </c>
      <c r="E2025" s="5">
        <v>0</v>
      </c>
      <c r="F2025" s="5">
        <v>0</v>
      </c>
      <c r="G2025" s="5">
        <v>0</v>
      </c>
      <c r="H2025" s="4" t="s">
        <v>11</v>
      </c>
      <c r="I2025" s="5">
        <v>0</v>
      </c>
      <c r="J2025" s="4">
        <v>45916.29482638889</v>
      </c>
    </row>
    <row r="2026" spans="1:10" x14ac:dyDescent="0.2">
      <c r="A2026" s="2" t="s">
        <v>10</v>
      </c>
      <c r="B2026" s="3" t="str">
        <f t="shared" si="41"/>
        <v>France - HCP Survey Email - June 2025</v>
      </c>
      <c r="C2026" s="3" t="str">
        <f>HYPERLINK("https://otsuka-europe-crm.veevavault.com/ui/#object/sent_email__v/VBLZ025E82GNOMJ", "SE-000273682")</f>
        <v>SE-000273682</v>
      </c>
      <c r="D2026" s="4" t="s">
        <v>11</v>
      </c>
      <c r="E2026" s="5">
        <v>0</v>
      </c>
      <c r="F2026" s="5">
        <v>0</v>
      </c>
      <c r="G2026" s="5">
        <v>0</v>
      </c>
      <c r="H2026" s="4" t="s">
        <v>11</v>
      </c>
      <c r="I2026" s="5">
        <v>0</v>
      </c>
      <c r="J2026" s="4">
        <v>45916.294398148151</v>
      </c>
    </row>
    <row r="2027" spans="1:10" x14ac:dyDescent="0.2">
      <c r="A2027" s="2" t="s">
        <v>10</v>
      </c>
      <c r="B2027" s="3" t="str">
        <f t="shared" si="41"/>
        <v>France - HCP Survey Email - June 2025</v>
      </c>
      <c r="C2027" s="3" t="str">
        <f>HYPERLINK("https://otsuka-europe-crm.veevavault.com/ui/#object/sent_email__v/VBLZ025E82GNOMK", "SE-000273683")</f>
        <v>SE-000273683</v>
      </c>
      <c r="D2027" s="4" t="s">
        <v>11</v>
      </c>
      <c r="E2027" s="5">
        <v>0</v>
      </c>
      <c r="F2027" s="5">
        <v>0</v>
      </c>
      <c r="G2027" s="5">
        <v>0</v>
      </c>
      <c r="H2027" s="4" t="s">
        <v>11</v>
      </c>
      <c r="I2027" s="5">
        <v>0</v>
      </c>
      <c r="J2027" s="4">
        <v>45916.294988425929</v>
      </c>
    </row>
    <row r="2028" spans="1:10" x14ac:dyDescent="0.2">
      <c r="A2028" s="2" t="s">
        <v>10</v>
      </c>
      <c r="B2028" s="3" t="str">
        <f t="shared" si="41"/>
        <v>France - HCP Survey Email - June 2025</v>
      </c>
      <c r="C2028" s="3" t="str">
        <f>HYPERLINK("https://otsuka-europe-crm.veevavault.com/ui/#object/sent_email__v/VBLZ025E82GNOMM", "SE-000273685")</f>
        <v>SE-000273685</v>
      </c>
      <c r="D2028" s="4" t="s">
        <v>11</v>
      </c>
      <c r="E2028" s="5">
        <v>0</v>
      </c>
      <c r="F2028" s="5">
        <v>0</v>
      </c>
      <c r="G2028" s="5">
        <v>0</v>
      </c>
      <c r="H2028" s="4" t="s">
        <v>11</v>
      </c>
      <c r="I2028" s="5">
        <v>0</v>
      </c>
      <c r="J2028" s="4">
        <v>45916.294872685183</v>
      </c>
    </row>
    <row r="2029" spans="1:10" x14ac:dyDescent="0.2">
      <c r="A2029" s="2" t="s">
        <v>10</v>
      </c>
      <c r="B2029" s="3" t="str">
        <f t="shared" si="41"/>
        <v>France - HCP Survey Email - June 2025</v>
      </c>
      <c r="C2029" s="3" t="str">
        <f>HYPERLINK("https://otsuka-europe-crm.veevavault.com/ui/#object/sent_email__v/VBLZ025E82GNOMN", "SE-000273686")</f>
        <v>SE-000273686</v>
      </c>
      <c r="D2029" s="4" t="s">
        <v>11</v>
      </c>
      <c r="E2029" s="5">
        <v>0</v>
      </c>
      <c r="F2029" s="5">
        <v>0</v>
      </c>
      <c r="G2029" s="5">
        <v>0</v>
      </c>
      <c r="H2029" s="4" t="s">
        <v>11</v>
      </c>
      <c r="I2029" s="5">
        <v>0</v>
      </c>
      <c r="J2029" s="4">
        <v>45916.294652777775</v>
      </c>
    </row>
    <row r="2030" spans="1:10" x14ac:dyDescent="0.2">
      <c r="A2030" s="2" t="s">
        <v>10</v>
      </c>
      <c r="B2030" s="3" t="str">
        <f t="shared" si="41"/>
        <v>France - HCP Survey Email - June 2025</v>
      </c>
      <c r="C2030" s="3" t="str">
        <f>HYPERLINK("https://otsuka-europe-crm.veevavault.com/ui/#object/sent_email__v/VBLZ025E82GNOMO", "SE-000273687")</f>
        <v>SE-000273687</v>
      </c>
      <c r="D2030" s="4" t="s">
        <v>11</v>
      </c>
      <c r="E2030" s="5">
        <v>0</v>
      </c>
      <c r="F2030" s="5">
        <v>0</v>
      </c>
      <c r="G2030" s="5">
        <v>0</v>
      </c>
      <c r="H2030" s="4" t="s">
        <v>11</v>
      </c>
      <c r="I2030" s="5">
        <v>0</v>
      </c>
      <c r="J2030" s="4">
        <v>45916.294351851851</v>
      </c>
    </row>
    <row r="2031" spans="1:10" x14ac:dyDescent="0.2">
      <c r="A2031" s="2" t="s">
        <v>10</v>
      </c>
      <c r="B2031" s="3" t="str">
        <f t="shared" si="41"/>
        <v>France - HCP Survey Email - June 2025</v>
      </c>
      <c r="C2031" s="3" t="str">
        <f>HYPERLINK("https://otsuka-europe-crm.veevavault.com/ui/#object/sent_email__v/VBLZ025E82GNOMP", "SE-000273688")</f>
        <v>SE-000273688</v>
      </c>
      <c r="D2031" s="4">
        <v>45917.702546296299</v>
      </c>
      <c r="E2031" s="5">
        <v>1</v>
      </c>
      <c r="F2031" s="5">
        <v>1</v>
      </c>
      <c r="G2031" s="5">
        <v>0</v>
      </c>
      <c r="H2031" s="4" t="s">
        <v>11</v>
      </c>
      <c r="I2031" s="5">
        <v>0</v>
      </c>
      <c r="J2031" s="4">
        <v>45916.294999999998</v>
      </c>
    </row>
    <row r="2032" spans="1:10" x14ac:dyDescent="0.2">
      <c r="A2032" s="2" t="s">
        <v>10</v>
      </c>
      <c r="B2032" s="3" t="str">
        <f t="shared" si="41"/>
        <v>France - HCP Survey Email - June 2025</v>
      </c>
      <c r="C2032" s="3" t="str">
        <f>HYPERLINK("https://otsuka-europe-crm.veevavault.com/ui/#object/sent_email__v/VBLZ025E82GNOMQ", "SE-000273689")</f>
        <v>SE-000273689</v>
      </c>
      <c r="D2032" s="4" t="s">
        <v>11</v>
      </c>
      <c r="E2032" s="5">
        <v>0</v>
      </c>
      <c r="F2032" s="5">
        <v>0</v>
      </c>
      <c r="G2032" s="5">
        <v>0</v>
      </c>
      <c r="H2032" s="4" t="s">
        <v>11</v>
      </c>
      <c r="I2032" s="5">
        <v>0</v>
      </c>
      <c r="J2032" s="4">
        <v>45916.294722222221</v>
      </c>
    </row>
    <row r="2033" spans="1:10" x14ac:dyDescent="0.2">
      <c r="A2033" s="2" t="s">
        <v>10</v>
      </c>
      <c r="B2033" s="3" t="str">
        <f t="shared" si="41"/>
        <v>France - HCP Survey Email - June 2025</v>
      </c>
      <c r="C2033" s="3" t="str">
        <f>HYPERLINK("https://otsuka-europe-crm.veevavault.com/ui/#object/sent_email__v/VBLZ025E82GNOMR", "SE-000273690")</f>
        <v>SE-000273690</v>
      </c>
      <c r="D2033" s="4">
        <v>45916.334814814814</v>
      </c>
      <c r="E2033" s="5">
        <v>1</v>
      </c>
      <c r="F2033" s="5">
        <v>1</v>
      </c>
      <c r="G2033" s="5">
        <v>0</v>
      </c>
      <c r="H2033" s="4" t="s">
        <v>11</v>
      </c>
      <c r="I2033" s="5">
        <v>0</v>
      </c>
      <c r="J2033" s="4">
        <v>45916.294490740744</v>
      </c>
    </row>
    <row r="2034" spans="1:10" x14ac:dyDescent="0.2">
      <c r="A2034" s="2" t="s">
        <v>10</v>
      </c>
      <c r="B2034" s="3" t="str">
        <f t="shared" si="41"/>
        <v>France - HCP Survey Email - June 2025</v>
      </c>
      <c r="C2034" s="3" t="str">
        <f>HYPERLINK("https://otsuka-europe-crm.veevavault.com/ui/#object/sent_email__v/VBLZ025E82GNOMS", "SE-000273691")</f>
        <v>SE-000273691</v>
      </c>
      <c r="D2034" s="4">
        <v>45916.294398148151</v>
      </c>
      <c r="E2034" s="5">
        <v>1</v>
      </c>
      <c r="F2034" s="5">
        <v>1</v>
      </c>
      <c r="G2034" s="5">
        <v>0</v>
      </c>
      <c r="H2034" s="4" t="s">
        <v>11</v>
      </c>
      <c r="I2034" s="5">
        <v>0</v>
      </c>
      <c r="J2034" s="4">
        <v>45916.294293981482</v>
      </c>
    </row>
    <row r="2035" spans="1:10" x14ac:dyDescent="0.2">
      <c r="A2035" s="2" t="s">
        <v>10</v>
      </c>
      <c r="B2035" s="3" t="str">
        <f t="shared" si="41"/>
        <v>France - HCP Survey Email - June 2025</v>
      </c>
      <c r="C2035" s="3" t="str">
        <f>HYPERLINK("https://otsuka-europe-crm.veevavault.com/ui/#object/sent_email__v/VBLZ025E82GNOMT", "SE-000273692")</f>
        <v>SE-000273692</v>
      </c>
      <c r="D2035" s="4" t="s">
        <v>11</v>
      </c>
      <c r="E2035" s="5">
        <v>0</v>
      </c>
      <c r="F2035" s="5">
        <v>0</v>
      </c>
      <c r="G2035" s="5">
        <v>0</v>
      </c>
      <c r="H2035" s="4" t="s">
        <v>11</v>
      </c>
      <c r="I2035" s="5">
        <v>0</v>
      </c>
      <c r="J2035" s="4">
        <v>45916.294918981483</v>
      </c>
    </row>
    <row r="2036" spans="1:10" x14ac:dyDescent="0.2">
      <c r="A2036" s="2" t="s">
        <v>10</v>
      </c>
      <c r="B2036" s="3" t="str">
        <f t="shared" si="41"/>
        <v>France - HCP Survey Email - June 2025</v>
      </c>
      <c r="C2036" s="3" t="str">
        <f>HYPERLINK("https://otsuka-europe-crm.veevavault.com/ui/#object/sent_email__v/VBLZ025E82GNOMU", "SE-000273693")</f>
        <v>SE-000273693</v>
      </c>
      <c r="D2036" s="4">
        <v>45916.294895833336</v>
      </c>
      <c r="E2036" s="5">
        <v>1</v>
      </c>
      <c r="F2036" s="5">
        <v>1</v>
      </c>
      <c r="G2036" s="5">
        <v>1</v>
      </c>
      <c r="H2036" s="4">
        <v>45916.294895833336</v>
      </c>
      <c r="I2036" s="5">
        <v>1</v>
      </c>
      <c r="J2036" s="4">
        <v>45916.294652777775</v>
      </c>
    </row>
    <row r="2037" spans="1:10" x14ac:dyDescent="0.2">
      <c r="A2037" s="2" t="s">
        <v>10</v>
      </c>
      <c r="B2037" s="3" t="str">
        <f t="shared" si="41"/>
        <v>France - HCP Survey Email - June 2025</v>
      </c>
      <c r="C2037" s="3" t="str">
        <f>HYPERLINK("https://otsuka-europe-crm.veevavault.com/ui/#object/sent_email__v/VBLZ025E82GNOMV", "SE-000273694")</f>
        <v>SE-000273694</v>
      </c>
      <c r="D2037" s="4">
        <v>45923.051805555559</v>
      </c>
      <c r="E2037" s="5">
        <v>1</v>
      </c>
      <c r="F2037" s="5">
        <v>1</v>
      </c>
      <c r="G2037" s="5">
        <v>0</v>
      </c>
      <c r="H2037" s="4" t="s">
        <v>11</v>
      </c>
      <c r="I2037" s="5">
        <v>0</v>
      </c>
      <c r="J2037" s="4">
        <v>45916.294479166667</v>
      </c>
    </row>
    <row r="2038" spans="1:10" x14ac:dyDescent="0.2">
      <c r="A2038" s="2" t="s">
        <v>10</v>
      </c>
      <c r="B2038" s="3" t="str">
        <f t="shared" si="41"/>
        <v>France - HCP Survey Email - June 2025</v>
      </c>
      <c r="C2038" s="3" t="str">
        <f>HYPERLINK("https://otsuka-europe-crm.veevavault.com/ui/#object/sent_email__v/VBLZ025E82GNOMW", "SE-000273695")</f>
        <v>SE-000273695</v>
      </c>
      <c r="D2038" s="4" t="s">
        <v>11</v>
      </c>
      <c r="E2038" s="5">
        <v>0</v>
      </c>
      <c r="F2038" s="5">
        <v>0</v>
      </c>
      <c r="G2038" s="5">
        <v>0</v>
      </c>
      <c r="H2038" s="4" t="s">
        <v>11</v>
      </c>
      <c r="I2038" s="5">
        <v>0</v>
      </c>
      <c r="J2038" s="4">
        <v>45916.294305555559</v>
      </c>
    </row>
    <row r="2039" spans="1:10" x14ac:dyDescent="0.2">
      <c r="A2039" s="2" t="s">
        <v>10</v>
      </c>
      <c r="B2039" s="3" t="str">
        <f t="shared" si="41"/>
        <v>France - HCP Survey Email - June 2025</v>
      </c>
      <c r="C2039" s="3" t="str">
        <f>HYPERLINK("https://otsuka-europe-crm.veevavault.com/ui/#object/sent_email__v/VBLZ025E82GNOMX", "SE-000273696")</f>
        <v>SE-000273696</v>
      </c>
      <c r="D2039" s="4" t="s">
        <v>11</v>
      </c>
      <c r="E2039" s="5">
        <v>0</v>
      </c>
      <c r="F2039" s="5">
        <v>0</v>
      </c>
      <c r="G2039" s="5">
        <v>0</v>
      </c>
      <c r="H2039" s="4" t="s">
        <v>11</v>
      </c>
      <c r="I2039" s="5">
        <v>0</v>
      </c>
      <c r="J2039" s="4">
        <v>45916.29478009259</v>
      </c>
    </row>
    <row r="2040" spans="1:10" x14ac:dyDescent="0.2">
      <c r="A2040" s="2" t="s">
        <v>10</v>
      </c>
      <c r="B2040" s="3" t="str">
        <f t="shared" si="41"/>
        <v>France - HCP Survey Email - June 2025</v>
      </c>
      <c r="C2040" s="3" t="str">
        <f>HYPERLINK("https://otsuka-europe-crm.veevavault.com/ui/#object/sent_email__v/VBLZ025E82GNOMY", "SE-000273697")</f>
        <v>SE-000273697</v>
      </c>
      <c r="D2040" s="4" t="s">
        <v>11</v>
      </c>
      <c r="E2040" s="5">
        <v>0</v>
      </c>
      <c r="F2040" s="5">
        <v>0</v>
      </c>
      <c r="G2040" s="5">
        <v>0</v>
      </c>
      <c r="H2040" s="4" t="s">
        <v>11</v>
      </c>
      <c r="I2040" s="5">
        <v>0</v>
      </c>
      <c r="J2040" s="4">
        <v>45916.294664351852</v>
      </c>
    </row>
    <row r="2041" spans="1:10" x14ac:dyDescent="0.2">
      <c r="A2041" s="2" t="s">
        <v>10</v>
      </c>
      <c r="B2041" s="3" t="str">
        <f t="shared" si="41"/>
        <v>France - HCP Survey Email - June 2025</v>
      </c>
      <c r="C2041" s="3" t="str">
        <f>HYPERLINK("https://otsuka-europe-crm.veevavault.com/ui/#object/sent_email__v/VBLZ025E82GNOMZ", "SE-000273698")</f>
        <v>SE-000273698</v>
      </c>
      <c r="D2041" s="4" t="s">
        <v>11</v>
      </c>
      <c r="E2041" s="5">
        <v>0</v>
      </c>
      <c r="F2041" s="5">
        <v>0</v>
      </c>
      <c r="G2041" s="5">
        <v>0</v>
      </c>
      <c r="H2041" s="4" t="s">
        <v>11</v>
      </c>
      <c r="I2041" s="5">
        <v>0</v>
      </c>
      <c r="J2041" s="4">
        <v>45916.294317129628</v>
      </c>
    </row>
    <row r="2042" spans="1:10" x14ac:dyDescent="0.2">
      <c r="A2042" s="2" t="s">
        <v>10</v>
      </c>
      <c r="B2042" s="3" t="str">
        <f t="shared" si="41"/>
        <v>France - HCP Survey Email - June 2025</v>
      </c>
      <c r="C2042" s="3" t="str">
        <f>HYPERLINK("https://otsuka-europe-crm.veevavault.com/ui/#object/sent_email__v/VBLZ025E82GNON0", "SE-000273699")</f>
        <v>SE-000273699</v>
      </c>
      <c r="D2042" s="4" t="s">
        <v>11</v>
      </c>
      <c r="E2042" s="5">
        <v>0</v>
      </c>
      <c r="F2042" s="5">
        <v>0</v>
      </c>
      <c r="G2042" s="5">
        <v>0</v>
      </c>
      <c r="H2042" s="4" t="s">
        <v>11</v>
      </c>
      <c r="I2042" s="5">
        <v>0</v>
      </c>
      <c r="J2042" s="4">
        <v>45916.294965277775</v>
      </c>
    </row>
    <row r="2043" spans="1:10" x14ac:dyDescent="0.2">
      <c r="A2043" s="2" t="s">
        <v>10</v>
      </c>
      <c r="B2043" s="3" t="str">
        <f t="shared" si="41"/>
        <v>France - HCP Survey Email - June 2025</v>
      </c>
      <c r="C2043" s="3" t="str">
        <f>HYPERLINK("https://otsuka-europe-crm.veevavault.com/ui/#object/sent_email__v/VBLZ025E82GNON1", "SE-000273700")</f>
        <v>SE-000273700</v>
      </c>
      <c r="D2043" s="4" t="s">
        <v>11</v>
      </c>
      <c r="E2043" s="5">
        <v>0</v>
      </c>
      <c r="F2043" s="5">
        <v>0</v>
      </c>
      <c r="G2043" s="5">
        <v>0</v>
      </c>
      <c r="H2043" s="4" t="s">
        <v>11</v>
      </c>
      <c r="I2043" s="5">
        <v>0</v>
      </c>
      <c r="J2043" s="4">
        <v>45916.29478009259</v>
      </c>
    </row>
    <row r="2044" spans="1:10" x14ac:dyDescent="0.2">
      <c r="A2044" s="2" t="s">
        <v>10</v>
      </c>
      <c r="B2044" s="3" t="str">
        <f t="shared" si="41"/>
        <v>France - HCP Survey Email - June 2025</v>
      </c>
      <c r="C2044" s="3" t="str">
        <f>HYPERLINK("https://otsuka-europe-crm.veevavault.com/ui/#object/sent_email__v/VBLZ025E82GNON2", "SE-000273701")</f>
        <v>SE-000273701</v>
      </c>
      <c r="D2044" s="4" t="s">
        <v>11</v>
      </c>
      <c r="E2044" s="5">
        <v>0</v>
      </c>
      <c r="F2044" s="5">
        <v>0</v>
      </c>
      <c r="G2044" s="5">
        <v>0</v>
      </c>
      <c r="H2044" s="4" t="s">
        <v>11</v>
      </c>
      <c r="I2044" s="5">
        <v>0</v>
      </c>
      <c r="J2044" s="4">
        <v>45916.29446759259</v>
      </c>
    </row>
    <row r="2045" spans="1:10" x14ac:dyDescent="0.2">
      <c r="A2045" s="2" t="s">
        <v>10</v>
      </c>
      <c r="B2045" s="3" t="str">
        <f t="shared" si="41"/>
        <v>France - HCP Survey Email - June 2025</v>
      </c>
      <c r="C2045" s="3" t="str">
        <f>HYPERLINK("https://otsuka-europe-crm.veevavault.com/ui/#object/sent_email__v/VBLZ025E82GNON3", "SE-000273702")</f>
        <v>SE-000273702</v>
      </c>
      <c r="D2045" s="4" t="s">
        <v>11</v>
      </c>
      <c r="E2045" s="5">
        <v>0</v>
      </c>
      <c r="F2045" s="5">
        <v>0</v>
      </c>
      <c r="G2045" s="5">
        <v>0</v>
      </c>
      <c r="H2045" s="4" t="s">
        <v>11</v>
      </c>
      <c r="I2045" s="5">
        <v>0</v>
      </c>
      <c r="J2045" s="4">
        <v>45916.294340277775</v>
      </c>
    </row>
    <row r="2046" spans="1:10" x14ac:dyDescent="0.2">
      <c r="A2046" s="2" t="s">
        <v>10</v>
      </c>
      <c r="B2046" s="3" t="str">
        <f t="shared" si="41"/>
        <v>France - HCP Survey Email - June 2025</v>
      </c>
      <c r="C2046" s="3" t="str">
        <f>HYPERLINK("https://otsuka-europe-crm.veevavault.com/ui/#object/sent_email__v/VBLZ025E82GNON4", "SE-000273703")</f>
        <v>SE-000273703</v>
      </c>
      <c r="D2046" s="4" t="s">
        <v>11</v>
      </c>
      <c r="E2046" s="5">
        <v>0</v>
      </c>
      <c r="F2046" s="5">
        <v>0</v>
      </c>
      <c r="G2046" s="5">
        <v>0</v>
      </c>
      <c r="H2046" s="4" t="s">
        <v>11</v>
      </c>
      <c r="I2046" s="5">
        <v>0</v>
      </c>
      <c r="J2046" s="4">
        <v>45916.294999999998</v>
      </c>
    </row>
    <row r="2047" spans="1:10" x14ac:dyDescent="0.2">
      <c r="A2047" s="2" t="s">
        <v>10</v>
      </c>
      <c r="B2047" s="3" t="str">
        <f t="shared" si="41"/>
        <v>France - HCP Survey Email - June 2025</v>
      </c>
      <c r="C2047" s="3" t="str">
        <f>HYPERLINK("https://otsuka-europe-crm.veevavault.com/ui/#object/sent_email__v/VBLZ025E82GNON5", "SE-000273704")</f>
        <v>SE-000273704</v>
      </c>
      <c r="D2047" s="4">
        <v>45916.542060185187</v>
      </c>
      <c r="E2047" s="5">
        <v>1</v>
      </c>
      <c r="F2047" s="5">
        <v>1</v>
      </c>
      <c r="G2047" s="5">
        <v>0</v>
      </c>
      <c r="H2047" s="4" t="s">
        <v>11</v>
      </c>
      <c r="I2047" s="5">
        <v>0</v>
      </c>
      <c r="J2047" s="4">
        <v>45916.294664351852</v>
      </c>
    </row>
    <row r="2048" spans="1:10" x14ac:dyDescent="0.2">
      <c r="A2048" s="2" t="s">
        <v>10</v>
      </c>
      <c r="B2048" s="3" t="str">
        <f t="shared" si="41"/>
        <v>France - HCP Survey Email - June 2025</v>
      </c>
      <c r="C2048" s="3" t="str">
        <f>HYPERLINK("https://otsuka-europe-crm.veevavault.com/ui/#object/sent_email__v/VBLZ025E82GNON6", "SE-000273705")</f>
        <v>SE-000273705</v>
      </c>
      <c r="D2048" s="4" t="s">
        <v>11</v>
      </c>
      <c r="E2048" s="5">
        <v>0</v>
      </c>
      <c r="F2048" s="5">
        <v>0</v>
      </c>
      <c r="G2048" s="5">
        <v>0</v>
      </c>
      <c r="H2048" s="4" t="s">
        <v>11</v>
      </c>
      <c r="I2048" s="5">
        <v>0</v>
      </c>
      <c r="J2048" s="4">
        <v>45916.294432870367</v>
      </c>
    </row>
    <row r="2049" spans="1:10" x14ac:dyDescent="0.2">
      <c r="A2049" s="2" t="s">
        <v>10</v>
      </c>
      <c r="B2049" s="3" t="str">
        <f t="shared" ref="B2049:B2112" si="42">HYPERLINK("https://otsuka-europe-crm.veevavault.com/ui/#object/approved_document__v/V5OZ025E82TMV97", "France - HCP Survey Email - June 2025")</f>
        <v>France - HCP Survey Email - June 2025</v>
      </c>
      <c r="C2049" s="3" t="str">
        <f>HYPERLINK("https://otsuka-europe-crm.veevavault.com/ui/#object/sent_email__v/VBLZ025E82GNON7", "SE-000273706")</f>
        <v>SE-000273706</v>
      </c>
      <c r="D2049" s="4">
        <v>45918.325254629628</v>
      </c>
      <c r="E2049" s="5">
        <v>1</v>
      </c>
      <c r="F2049" s="5">
        <v>3</v>
      </c>
      <c r="G2049" s="5">
        <v>0</v>
      </c>
      <c r="H2049" s="4" t="s">
        <v>11</v>
      </c>
      <c r="I2049" s="5">
        <v>0</v>
      </c>
      <c r="J2049" s="4">
        <v>45916.294282407405</v>
      </c>
    </row>
    <row r="2050" spans="1:10" x14ac:dyDescent="0.2">
      <c r="A2050" s="2" t="s">
        <v>10</v>
      </c>
      <c r="B2050" s="3" t="str">
        <f t="shared" si="42"/>
        <v>France - HCP Survey Email - June 2025</v>
      </c>
      <c r="C2050" s="3" t="str">
        <f>HYPERLINK("https://otsuka-europe-crm.veevavault.com/ui/#object/sent_email__v/VBLZ025E82GNON8", "SE-000273707")</f>
        <v>SE-000273707</v>
      </c>
      <c r="D2050" s="4" t="s">
        <v>11</v>
      </c>
      <c r="E2050" s="5">
        <v>0</v>
      </c>
      <c r="F2050" s="5">
        <v>0</v>
      </c>
      <c r="G2050" s="5">
        <v>0</v>
      </c>
      <c r="H2050" s="4" t="s">
        <v>11</v>
      </c>
      <c r="I2050" s="5">
        <v>0</v>
      </c>
      <c r="J2050" s="4">
        <v>45916.29483796296</v>
      </c>
    </row>
    <row r="2051" spans="1:10" x14ac:dyDescent="0.2">
      <c r="A2051" s="2" t="s">
        <v>10</v>
      </c>
      <c r="B2051" s="3" t="str">
        <f t="shared" si="42"/>
        <v>France - HCP Survey Email - June 2025</v>
      </c>
      <c r="C2051" s="3" t="str">
        <f>HYPERLINK("https://otsuka-europe-crm.veevavault.com/ui/#object/sent_email__v/VBLZ025E82GNON9", "SE-000273708")</f>
        <v>SE-000273708</v>
      </c>
      <c r="D2051" s="4" t="s">
        <v>11</v>
      </c>
      <c r="E2051" s="5">
        <v>0</v>
      </c>
      <c r="F2051" s="5">
        <v>0</v>
      </c>
      <c r="G2051" s="5">
        <v>0</v>
      </c>
      <c r="H2051" s="4" t="s">
        <v>11</v>
      </c>
      <c r="I2051" s="5">
        <v>0</v>
      </c>
      <c r="J2051" s="4">
        <v>45916.294583333336</v>
      </c>
    </row>
    <row r="2052" spans="1:10" x14ac:dyDescent="0.2">
      <c r="A2052" s="2" t="s">
        <v>10</v>
      </c>
      <c r="B2052" s="3" t="str">
        <f t="shared" si="42"/>
        <v>France - HCP Survey Email - June 2025</v>
      </c>
      <c r="C2052" s="3" t="str">
        <f>HYPERLINK("https://otsuka-europe-crm.veevavault.com/ui/#object/sent_email__v/VBLZ025E82GNONA", "SE-000273709")</f>
        <v>SE-000273709</v>
      </c>
      <c r="D2052" s="4" t="s">
        <v>11</v>
      </c>
      <c r="E2052" s="5">
        <v>0</v>
      </c>
      <c r="F2052" s="5">
        <v>0</v>
      </c>
      <c r="G2052" s="5">
        <v>0</v>
      </c>
      <c r="H2052" s="4" t="s">
        <v>11</v>
      </c>
      <c r="I2052" s="5">
        <v>0</v>
      </c>
      <c r="J2052" s="4">
        <v>45916.294270833336</v>
      </c>
    </row>
    <row r="2053" spans="1:10" x14ac:dyDescent="0.2">
      <c r="A2053" s="2" t="s">
        <v>10</v>
      </c>
      <c r="B2053" s="3" t="str">
        <f t="shared" si="42"/>
        <v>France - HCP Survey Email - June 2025</v>
      </c>
      <c r="C2053" s="3" t="str">
        <f>HYPERLINK("https://otsuka-europe-crm.veevavault.com/ui/#object/sent_email__v/VBLZ025E82GNONB", "SE-000273710")</f>
        <v>SE-000273710</v>
      </c>
      <c r="D2053" s="4" t="s">
        <v>11</v>
      </c>
      <c r="E2053" s="5">
        <v>0</v>
      </c>
      <c r="F2053" s="5">
        <v>0</v>
      </c>
      <c r="G2053" s="5">
        <v>0</v>
      </c>
      <c r="H2053" s="4" t="s">
        <v>11</v>
      </c>
      <c r="I2053" s="5">
        <v>0</v>
      </c>
      <c r="J2053" s="4">
        <v>45916.294999999998</v>
      </c>
    </row>
    <row r="2054" spans="1:10" x14ac:dyDescent="0.2">
      <c r="A2054" s="2" t="s">
        <v>10</v>
      </c>
      <c r="B2054" s="3" t="str">
        <f t="shared" si="42"/>
        <v>France - HCP Survey Email - June 2025</v>
      </c>
      <c r="C2054" s="3" t="str">
        <f>HYPERLINK("https://otsuka-europe-crm.veevavault.com/ui/#object/sent_email__v/VBLZ025E82GNONC", "SE-000273711")</f>
        <v>SE-000273711</v>
      </c>
      <c r="D2054" s="4" t="s">
        <v>11</v>
      </c>
      <c r="E2054" s="5">
        <v>0</v>
      </c>
      <c r="F2054" s="5">
        <v>0</v>
      </c>
      <c r="G2054" s="5">
        <v>0</v>
      </c>
      <c r="H2054" s="4" t="s">
        <v>11</v>
      </c>
      <c r="I2054" s="5">
        <v>0</v>
      </c>
      <c r="J2054" s="4">
        <v>45916.29478009259</v>
      </c>
    </row>
    <row r="2055" spans="1:10" x14ac:dyDescent="0.2">
      <c r="A2055" s="2" t="s">
        <v>10</v>
      </c>
      <c r="B2055" s="3" t="str">
        <f t="shared" si="42"/>
        <v>France - HCP Survey Email - June 2025</v>
      </c>
      <c r="C2055" s="3" t="str">
        <f>HYPERLINK("https://otsuka-europe-crm.veevavault.com/ui/#object/sent_email__v/VBLZ025E82GNOND", "SE-000273712")</f>
        <v>SE-000273712</v>
      </c>
      <c r="D2055" s="4" t="s">
        <v>11</v>
      </c>
      <c r="E2055" s="5">
        <v>0</v>
      </c>
      <c r="F2055" s="5">
        <v>0</v>
      </c>
      <c r="G2055" s="5">
        <v>0</v>
      </c>
      <c r="H2055" s="4" t="s">
        <v>11</v>
      </c>
      <c r="I2055" s="5">
        <v>0</v>
      </c>
      <c r="J2055" s="4">
        <v>45916.294560185182</v>
      </c>
    </row>
    <row r="2056" spans="1:10" x14ac:dyDescent="0.2">
      <c r="A2056" s="2" t="s">
        <v>10</v>
      </c>
      <c r="B2056" s="3" t="str">
        <f t="shared" si="42"/>
        <v>France - HCP Survey Email - June 2025</v>
      </c>
      <c r="C2056" s="3" t="str">
        <f>HYPERLINK("https://otsuka-europe-crm.veevavault.com/ui/#object/sent_email__v/VBLZ025E82GNONE", "SE-000273713")</f>
        <v>SE-000273713</v>
      </c>
      <c r="D2056" s="4" t="s">
        <v>11</v>
      </c>
      <c r="E2056" s="5">
        <v>0</v>
      </c>
      <c r="F2056" s="5">
        <v>0</v>
      </c>
      <c r="G2056" s="5">
        <v>0</v>
      </c>
      <c r="H2056" s="4" t="s">
        <v>11</v>
      </c>
      <c r="I2056" s="5">
        <v>0</v>
      </c>
      <c r="J2056" s="4">
        <v>45916.294270833336</v>
      </c>
    </row>
    <row r="2057" spans="1:10" x14ac:dyDescent="0.2">
      <c r="A2057" s="2" t="s">
        <v>10</v>
      </c>
      <c r="B2057" s="3" t="str">
        <f t="shared" si="42"/>
        <v>France - HCP Survey Email - June 2025</v>
      </c>
      <c r="C2057" s="3" t="str">
        <f>HYPERLINK("https://otsuka-europe-crm.veevavault.com/ui/#object/sent_email__v/VBLZ025E82GNONF", "SE-000273714")</f>
        <v>SE-000273714</v>
      </c>
      <c r="D2057" s="4" t="s">
        <v>11</v>
      </c>
      <c r="E2057" s="5">
        <v>0</v>
      </c>
      <c r="F2057" s="5">
        <v>0</v>
      </c>
      <c r="G2057" s="5">
        <v>0</v>
      </c>
      <c r="H2057" s="4" t="s">
        <v>11</v>
      </c>
      <c r="I2057" s="5">
        <v>0</v>
      </c>
      <c r="J2057" s="4">
        <v>45916.294918981483</v>
      </c>
    </row>
    <row r="2058" spans="1:10" x14ac:dyDescent="0.2">
      <c r="A2058" s="2" t="s">
        <v>10</v>
      </c>
      <c r="B2058" s="3" t="str">
        <f t="shared" si="42"/>
        <v>France - HCP Survey Email - June 2025</v>
      </c>
      <c r="C2058" s="3" t="str">
        <f>HYPERLINK("https://otsuka-europe-crm.veevavault.com/ui/#object/sent_email__v/VBLZ025E82GNONG", "SE-000273715")</f>
        <v>SE-000273715</v>
      </c>
      <c r="D2058" s="4" t="s">
        <v>11</v>
      </c>
      <c r="E2058" s="5">
        <v>0</v>
      </c>
      <c r="F2058" s="5">
        <v>0</v>
      </c>
      <c r="G2058" s="5">
        <v>0</v>
      </c>
      <c r="H2058" s="4" t="s">
        <v>11</v>
      </c>
      <c r="I2058" s="5">
        <v>0</v>
      </c>
      <c r="J2058" s="4">
        <v>45916.294699074075</v>
      </c>
    </row>
    <row r="2059" spans="1:10" x14ac:dyDescent="0.2">
      <c r="A2059" s="2" t="s">
        <v>10</v>
      </c>
      <c r="B2059" s="3" t="str">
        <f t="shared" si="42"/>
        <v>France - HCP Survey Email - June 2025</v>
      </c>
      <c r="C2059" s="3" t="str">
        <f>HYPERLINK("https://otsuka-europe-crm.veevavault.com/ui/#object/sent_email__v/VBLZ025E82GNONH", "SE-000273716")</f>
        <v>SE-000273716</v>
      </c>
      <c r="D2059" s="4" t="s">
        <v>11</v>
      </c>
      <c r="E2059" s="5">
        <v>0</v>
      </c>
      <c r="F2059" s="5">
        <v>0</v>
      </c>
      <c r="G2059" s="5">
        <v>0</v>
      </c>
      <c r="H2059" s="4" t="s">
        <v>11</v>
      </c>
      <c r="I2059" s="5">
        <v>0</v>
      </c>
      <c r="J2059" s="4">
        <v>45916.294398148151</v>
      </c>
    </row>
    <row r="2060" spans="1:10" x14ac:dyDescent="0.2">
      <c r="A2060" s="2" t="s">
        <v>10</v>
      </c>
      <c r="B2060" s="3" t="str">
        <f t="shared" si="42"/>
        <v>France - HCP Survey Email - June 2025</v>
      </c>
      <c r="C2060" s="3" t="str">
        <f>HYPERLINK("https://otsuka-europe-crm.veevavault.com/ui/#object/sent_email__v/VBLZ025E82GNONI", "SE-000273717")</f>
        <v>SE-000273717</v>
      </c>
      <c r="D2060" s="4">
        <v>45916.294247685182</v>
      </c>
      <c r="E2060" s="5">
        <v>1</v>
      </c>
      <c r="F2060" s="5">
        <v>1</v>
      </c>
      <c r="G2060" s="5">
        <v>1</v>
      </c>
      <c r="H2060" s="4">
        <v>45916.294247685182</v>
      </c>
      <c r="I2060" s="5">
        <v>1</v>
      </c>
      <c r="J2060" s="4">
        <v>45916.294224537036</v>
      </c>
    </row>
    <row r="2061" spans="1:10" x14ac:dyDescent="0.2">
      <c r="A2061" s="2" t="s">
        <v>10</v>
      </c>
      <c r="B2061" s="3" t="str">
        <f t="shared" si="42"/>
        <v>France - HCP Survey Email - June 2025</v>
      </c>
      <c r="C2061" s="3" t="str">
        <f>HYPERLINK("https://otsuka-europe-crm.veevavault.com/ui/#object/sent_email__v/VBLZ025E82GNONJ", "SE-000273718")</f>
        <v>SE-000273718</v>
      </c>
      <c r="D2061" s="4">
        <v>45916.834074074075</v>
      </c>
      <c r="E2061" s="5">
        <v>1</v>
      </c>
      <c r="F2061" s="5">
        <v>1</v>
      </c>
      <c r="G2061" s="5">
        <v>0</v>
      </c>
      <c r="H2061" s="4" t="s">
        <v>11</v>
      </c>
      <c r="I2061" s="5">
        <v>0</v>
      </c>
      <c r="J2061" s="4">
        <v>45916.294803240744</v>
      </c>
    </row>
    <row r="2062" spans="1:10" x14ac:dyDescent="0.2">
      <c r="A2062" s="2" t="s">
        <v>10</v>
      </c>
      <c r="B2062" s="3" t="str">
        <f t="shared" si="42"/>
        <v>France - HCP Survey Email - June 2025</v>
      </c>
      <c r="C2062" s="3" t="str">
        <f>HYPERLINK("https://otsuka-europe-crm.veevavault.com/ui/#object/sent_email__v/VBLZ025E82GNONK", "SE-000273719")</f>
        <v>SE-000273719</v>
      </c>
      <c r="D2062" s="4">
        <v>45916.30159722222</v>
      </c>
      <c r="E2062" s="5">
        <v>1</v>
      </c>
      <c r="F2062" s="5">
        <v>1</v>
      </c>
      <c r="G2062" s="5">
        <v>0</v>
      </c>
      <c r="H2062" s="4" t="s">
        <v>11</v>
      </c>
      <c r="I2062" s="5">
        <v>0</v>
      </c>
      <c r="J2062" s="4">
        <v>45916.294641203705</v>
      </c>
    </row>
    <row r="2063" spans="1:10" x14ac:dyDescent="0.2">
      <c r="A2063" s="2" t="s">
        <v>10</v>
      </c>
      <c r="B2063" s="3" t="str">
        <f t="shared" si="42"/>
        <v>France - HCP Survey Email - June 2025</v>
      </c>
      <c r="C2063" s="3" t="str">
        <f>HYPERLINK("https://otsuka-europe-crm.veevavault.com/ui/#object/sent_email__v/VBLZ025E82GNONL", "SE-000273720")</f>
        <v>SE-000273720</v>
      </c>
      <c r="D2063" s="4" t="s">
        <v>11</v>
      </c>
      <c r="E2063" s="5">
        <v>0</v>
      </c>
      <c r="F2063" s="5">
        <v>0</v>
      </c>
      <c r="G2063" s="5">
        <v>0</v>
      </c>
      <c r="H2063" s="4" t="s">
        <v>11</v>
      </c>
      <c r="I2063" s="5">
        <v>0</v>
      </c>
      <c r="J2063" s="4">
        <v>45916.294386574074</v>
      </c>
    </row>
    <row r="2064" spans="1:10" x14ac:dyDescent="0.2">
      <c r="A2064" s="2" t="s">
        <v>10</v>
      </c>
      <c r="B2064" s="3" t="str">
        <f t="shared" si="42"/>
        <v>France - HCP Survey Email - June 2025</v>
      </c>
      <c r="C2064" s="3" t="str">
        <f>HYPERLINK("https://otsuka-europe-crm.veevavault.com/ui/#object/sent_email__v/VBLZ025E82GNONM", "SE-000273721")</f>
        <v>SE-000273721</v>
      </c>
      <c r="D2064" s="4">
        <v>45916.316979166666</v>
      </c>
      <c r="E2064" s="5">
        <v>1</v>
      </c>
      <c r="F2064" s="5">
        <v>2</v>
      </c>
      <c r="G2064" s="5">
        <v>0</v>
      </c>
      <c r="H2064" s="4" t="s">
        <v>11</v>
      </c>
      <c r="I2064" s="5">
        <v>0</v>
      </c>
      <c r="J2064" s="4">
        <v>45916.294305555559</v>
      </c>
    </row>
    <row r="2065" spans="1:10" x14ac:dyDescent="0.2">
      <c r="A2065" s="2" t="s">
        <v>10</v>
      </c>
      <c r="B2065" s="3" t="str">
        <f t="shared" si="42"/>
        <v>France - HCP Survey Email - June 2025</v>
      </c>
      <c r="C2065" s="3" t="str">
        <f>HYPERLINK("https://otsuka-europe-crm.veevavault.com/ui/#object/sent_email__v/VBLZ025E82GNONN", "SE-000273722")</f>
        <v>SE-000273722</v>
      </c>
      <c r="D2065" s="4" t="s">
        <v>11</v>
      </c>
      <c r="E2065" s="5">
        <v>0</v>
      </c>
      <c r="F2065" s="5">
        <v>0</v>
      </c>
      <c r="G2065" s="5">
        <v>0</v>
      </c>
      <c r="H2065" s="4" t="s">
        <v>11</v>
      </c>
      <c r="I2065" s="5">
        <v>0</v>
      </c>
      <c r="J2065" s="4">
        <v>45916.29478009259</v>
      </c>
    </row>
    <row r="2066" spans="1:10" x14ac:dyDescent="0.2">
      <c r="A2066" s="2" t="s">
        <v>10</v>
      </c>
      <c r="B2066" s="3" t="str">
        <f t="shared" si="42"/>
        <v>France - HCP Survey Email - June 2025</v>
      </c>
      <c r="C2066" s="3" t="str">
        <f>HYPERLINK("https://otsuka-europe-crm.veevavault.com/ui/#object/sent_email__v/VBLZ025E82GNONO", "SE-000273723")</f>
        <v>SE-000273723</v>
      </c>
      <c r="D2066" s="4" t="s">
        <v>11</v>
      </c>
      <c r="E2066" s="5">
        <v>0</v>
      </c>
      <c r="F2066" s="5">
        <v>0</v>
      </c>
      <c r="G2066" s="5">
        <v>0</v>
      </c>
      <c r="H2066" s="4" t="s">
        <v>11</v>
      </c>
      <c r="I2066" s="5">
        <v>0</v>
      </c>
      <c r="J2066" s="4">
        <v>45916.294652777775</v>
      </c>
    </row>
    <row r="2067" spans="1:10" x14ac:dyDescent="0.2">
      <c r="A2067" s="2" t="s">
        <v>10</v>
      </c>
      <c r="B2067" s="3" t="str">
        <f t="shared" si="42"/>
        <v>France - HCP Survey Email - June 2025</v>
      </c>
      <c r="C2067" s="3" t="str">
        <f>HYPERLINK("https://otsuka-europe-crm.veevavault.com/ui/#object/sent_email__v/VBLZ025E82GNONP", "SE-000273724")</f>
        <v>SE-000273724</v>
      </c>
      <c r="D2067" s="4" t="s">
        <v>11</v>
      </c>
      <c r="E2067" s="5">
        <v>0</v>
      </c>
      <c r="F2067" s="5">
        <v>0</v>
      </c>
      <c r="G2067" s="5">
        <v>0</v>
      </c>
      <c r="H2067" s="4" t="s">
        <v>11</v>
      </c>
      <c r="I2067" s="5">
        <v>0</v>
      </c>
      <c r="J2067" s="4">
        <v>45916.294398148151</v>
      </c>
    </row>
    <row r="2068" spans="1:10" x14ac:dyDescent="0.2">
      <c r="A2068" s="2" t="s">
        <v>10</v>
      </c>
      <c r="B2068" s="3" t="str">
        <f t="shared" si="42"/>
        <v>France - HCP Survey Email - June 2025</v>
      </c>
      <c r="C2068" s="3" t="str">
        <f>HYPERLINK("https://otsuka-europe-crm.veevavault.com/ui/#object/sent_email__v/VBLZ025E82GNONQ", "SE-000273725")</f>
        <v>SE-000273725</v>
      </c>
      <c r="D2068" s="4" t="s">
        <v>11</v>
      </c>
      <c r="E2068" s="5">
        <v>0</v>
      </c>
      <c r="F2068" s="5">
        <v>0</v>
      </c>
      <c r="G2068" s="5">
        <v>0</v>
      </c>
      <c r="H2068" s="4" t="s">
        <v>11</v>
      </c>
      <c r="I2068" s="5">
        <v>0</v>
      </c>
      <c r="J2068" s="4">
        <v>45916.294942129629</v>
      </c>
    </row>
    <row r="2069" spans="1:10" x14ac:dyDescent="0.2">
      <c r="A2069" s="2" t="s">
        <v>10</v>
      </c>
      <c r="B2069" s="3" t="str">
        <f t="shared" si="42"/>
        <v>France - HCP Survey Email - June 2025</v>
      </c>
      <c r="C2069" s="3" t="str">
        <f>HYPERLINK("https://otsuka-europe-crm.veevavault.com/ui/#object/sent_email__v/VBLZ025E82GNONR", "SE-000273726")</f>
        <v>SE-000273726</v>
      </c>
      <c r="D2069" s="4">
        <v>45916.931597222225</v>
      </c>
      <c r="E2069" s="5">
        <v>1</v>
      </c>
      <c r="F2069" s="5">
        <v>2</v>
      </c>
      <c r="G2069" s="5">
        <v>0</v>
      </c>
      <c r="H2069" s="4" t="s">
        <v>11</v>
      </c>
      <c r="I2069" s="5">
        <v>0</v>
      </c>
      <c r="J2069" s="4">
        <v>45916.294745370367</v>
      </c>
    </row>
    <row r="2070" spans="1:10" x14ac:dyDescent="0.2">
      <c r="A2070" s="2" t="s">
        <v>10</v>
      </c>
      <c r="B2070" s="3" t="str">
        <f t="shared" si="42"/>
        <v>France - HCP Survey Email - June 2025</v>
      </c>
      <c r="C2070" s="3" t="str">
        <f>HYPERLINK("https://otsuka-europe-crm.veevavault.com/ui/#object/sent_email__v/VBLZ025E82GNONT", "SE-000273728")</f>
        <v>SE-000273728</v>
      </c>
      <c r="D2070" s="4">
        <v>45917.701365740744</v>
      </c>
      <c r="E2070" s="5">
        <v>1</v>
      </c>
      <c r="F2070" s="5">
        <v>2</v>
      </c>
      <c r="G2070" s="5">
        <v>0</v>
      </c>
      <c r="H2070" s="4" t="s">
        <v>11</v>
      </c>
      <c r="I2070" s="5">
        <v>0</v>
      </c>
      <c r="J2070" s="4">
        <v>45916.294259259259</v>
      </c>
    </row>
    <row r="2071" spans="1:10" x14ac:dyDescent="0.2">
      <c r="A2071" s="2" t="s">
        <v>10</v>
      </c>
      <c r="B2071" s="3" t="str">
        <f t="shared" si="42"/>
        <v>France - HCP Survey Email - June 2025</v>
      </c>
      <c r="C2071" s="3" t="str">
        <f>HYPERLINK("https://otsuka-europe-crm.veevavault.com/ui/#object/sent_email__v/VBLZ025E82GNONU", "SE-000273729")</f>
        <v>SE-000273729</v>
      </c>
      <c r="D2071" s="4" t="s">
        <v>11</v>
      </c>
      <c r="E2071" s="5">
        <v>0</v>
      </c>
      <c r="F2071" s="5">
        <v>0</v>
      </c>
      <c r="G2071" s="5">
        <v>0</v>
      </c>
      <c r="H2071" s="4" t="s">
        <v>11</v>
      </c>
      <c r="I2071" s="5">
        <v>0</v>
      </c>
      <c r="J2071" s="4">
        <v>45916.294907407406</v>
      </c>
    </row>
    <row r="2072" spans="1:10" x14ac:dyDescent="0.2">
      <c r="A2072" s="2" t="s">
        <v>10</v>
      </c>
      <c r="B2072" s="3" t="str">
        <f t="shared" si="42"/>
        <v>France - HCP Survey Email - June 2025</v>
      </c>
      <c r="C2072" s="3" t="str">
        <f>HYPERLINK("https://otsuka-europe-crm.veevavault.com/ui/#object/sent_email__v/VBLZ025E82GNONV", "SE-000273730")</f>
        <v>SE-000273730</v>
      </c>
      <c r="D2072" s="4">
        <v>45920.43990740741</v>
      </c>
      <c r="E2072" s="5">
        <v>1</v>
      </c>
      <c r="F2072" s="5">
        <v>2</v>
      </c>
      <c r="G2072" s="5">
        <v>0</v>
      </c>
      <c r="H2072" s="4" t="s">
        <v>11</v>
      </c>
      <c r="I2072" s="5">
        <v>0</v>
      </c>
      <c r="J2072" s="4">
        <v>45916.294664351852</v>
      </c>
    </row>
    <row r="2073" spans="1:10" x14ac:dyDescent="0.2">
      <c r="A2073" s="2" t="s">
        <v>10</v>
      </c>
      <c r="B2073" s="3" t="str">
        <f t="shared" si="42"/>
        <v>France - HCP Survey Email - June 2025</v>
      </c>
      <c r="C2073" s="3" t="str">
        <f>HYPERLINK("https://otsuka-europe-crm.veevavault.com/ui/#object/sent_email__v/VBLZ025E82GNONW", "SE-000273731")</f>
        <v>SE-000273731</v>
      </c>
      <c r="D2073" s="4">
        <v>45936.610335648147</v>
      </c>
      <c r="E2073" s="5">
        <v>1</v>
      </c>
      <c r="F2073" s="5">
        <v>5</v>
      </c>
      <c r="G2073" s="5">
        <v>0</v>
      </c>
      <c r="H2073" s="4" t="s">
        <v>11</v>
      </c>
      <c r="I2073" s="5">
        <v>0</v>
      </c>
      <c r="J2073" s="4">
        <v>45916.294490740744</v>
      </c>
    </row>
    <row r="2074" spans="1:10" x14ac:dyDescent="0.2">
      <c r="A2074" s="2" t="s">
        <v>10</v>
      </c>
      <c r="B2074" s="3" t="str">
        <f t="shared" si="42"/>
        <v>France - HCP Survey Email - June 2025</v>
      </c>
      <c r="C2074" s="3" t="str">
        <f>HYPERLINK("https://otsuka-europe-crm.veevavault.com/ui/#object/sent_email__v/VBLZ025E82GNONX", "SE-000273732")</f>
        <v>SE-000273732</v>
      </c>
      <c r="D2074" s="4" t="s">
        <v>11</v>
      </c>
      <c r="E2074" s="5">
        <v>0</v>
      </c>
      <c r="F2074" s="5">
        <v>0</v>
      </c>
      <c r="G2074" s="5">
        <v>0</v>
      </c>
      <c r="H2074" s="4" t="s">
        <v>11</v>
      </c>
      <c r="I2074" s="5">
        <v>0</v>
      </c>
      <c r="J2074" s="4">
        <v>45916.294212962966</v>
      </c>
    </row>
    <row r="2075" spans="1:10" x14ac:dyDescent="0.2">
      <c r="A2075" s="2" t="s">
        <v>10</v>
      </c>
      <c r="B2075" s="3" t="str">
        <f t="shared" si="42"/>
        <v>France - HCP Survey Email - June 2025</v>
      </c>
      <c r="C2075" s="3" t="str">
        <f>HYPERLINK("https://otsuka-europe-crm.veevavault.com/ui/#object/sent_email__v/VBLZ025E82GNONY", "SE-000273733")</f>
        <v>SE-000273733</v>
      </c>
      <c r="D2075" s="4">
        <v>45984.596122685187</v>
      </c>
      <c r="E2075" s="5">
        <v>1</v>
      </c>
      <c r="F2075" s="5">
        <v>6</v>
      </c>
      <c r="G2075" s="5">
        <v>0</v>
      </c>
      <c r="H2075" s="4" t="s">
        <v>11</v>
      </c>
      <c r="I2075" s="5">
        <v>0</v>
      </c>
      <c r="J2075" s="4">
        <v>45916.294861111113</v>
      </c>
    </row>
    <row r="2076" spans="1:10" x14ac:dyDescent="0.2">
      <c r="A2076" s="2" t="s">
        <v>10</v>
      </c>
      <c r="B2076" s="3" t="str">
        <f t="shared" si="42"/>
        <v>France - HCP Survey Email - June 2025</v>
      </c>
      <c r="C2076" s="3" t="str">
        <f>HYPERLINK("https://otsuka-europe-crm.veevavault.com/ui/#object/sent_email__v/VBLZ025E82GNONZ", "SE-000273734")</f>
        <v>SE-000273734</v>
      </c>
      <c r="D2076" s="4" t="s">
        <v>11</v>
      </c>
      <c r="E2076" s="5">
        <v>0</v>
      </c>
      <c r="F2076" s="5">
        <v>0</v>
      </c>
      <c r="G2076" s="5">
        <v>0</v>
      </c>
      <c r="H2076" s="4" t="s">
        <v>11</v>
      </c>
      <c r="I2076" s="5">
        <v>0</v>
      </c>
      <c r="J2076" s="4">
        <v>45916.294560185182</v>
      </c>
    </row>
    <row r="2077" spans="1:10" x14ac:dyDescent="0.2">
      <c r="A2077" s="2" t="s">
        <v>10</v>
      </c>
      <c r="B2077" s="3" t="str">
        <f t="shared" si="42"/>
        <v>France - HCP Survey Email - June 2025</v>
      </c>
      <c r="C2077" s="3" t="str">
        <f>HYPERLINK("https://otsuka-europe-crm.veevavault.com/ui/#object/sent_email__v/VBLZ025E82GNOO0", "SE-000273735")</f>
        <v>SE-000273735</v>
      </c>
      <c r="D2077" s="4" t="s">
        <v>11</v>
      </c>
      <c r="E2077" s="5">
        <v>0</v>
      </c>
      <c r="F2077" s="5">
        <v>0</v>
      </c>
      <c r="G2077" s="5">
        <v>0</v>
      </c>
      <c r="H2077" s="4" t="s">
        <v>11</v>
      </c>
      <c r="I2077" s="5">
        <v>0</v>
      </c>
      <c r="J2077" s="4">
        <v>45916.294421296298</v>
      </c>
    </row>
    <row r="2078" spans="1:10" x14ac:dyDescent="0.2">
      <c r="A2078" s="2" t="s">
        <v>10</v>
      </c>
      <c r="B2078" s="3" t="str">
        <f t="shared" si="42"/>
        <v>France - HCP Survey Email - June 2025</v>
      </c>
      <c r="C2078" s="3" t="str">
        <f>HYPERLINK("https://otsuka-europe-crm.veevavault.com/ui/#object/sent_email__v/VBLZ025E82GNOO1", "SE-000273736")</f>
        <v>SE-000273736</v>
      </c>
      <c r="D2078" s="4" t="s">
        <v>11</v>
      </c>
      <c r="E2078" s="5">
        <v>0</v>
      </c>
      <c r="F2078" s="5">
        <v>0</v>
      </c>
      <c r="G2078" s="5">
        <v>0</v>
      </c>
      <c r="H2078" s="4" t="s">
        <v>11</v>
      </c>
      <c r="I2078" s="5">
        <v>0</v>
      </c>
      <c r="J2078" s="4">
        <v>45916.295069444444</v>
      </c>
    </row>
    <row r="2079" spans="1:10" x14ac:dyDescent="0.2">
      <c r="A2079" s="2" t="s">
        <v>10</v>
      </c>
      <c r="B2079" s="3" t="str">
        <f t="shared" si="42"/>
        <v>France - HCP Survey Email - June 2025</v>
      </c>
      <c r="C2079" s="3" t="str">
        <f>HYPERLINK("https://otsuka-europe-crm.veevavault.com/ui/#object/sent_email__v/VBLZ025E82GNOO2", "SE-000273737")</f>
        <v>SE-000273737</v>
      </c>
      <c r="D2079" s="4" t="s">
        <v>11</v>
      </c>
      <c r="E2079" s="5">
        <v>0</v>
      </c>
      <c r="F2079" s="5">
        <v>0</v>
      </c>
      <c r="G2079" s="5">
        <v>0</v>
      </c>
      <c r="H2079" s="4" t="s">
        <v>11</v>
      </c>
      <c r="I2079" s="5">
        <v>0</v>
      </c>
      <c r="J2079" s="4">
        <v>45916.294756944444</v>
      </c>
    </row>
    <row r="2080" spans="1:10" x14ac:dyDescent="0.2">
      <c r="A2080" s="2" t="s">
        <v>10</v>
      </c>
      <c r="B2080" s="3" t="str">
        <f t="shared" si="42"/>
        <v>France - HCP Survey Email - June 2025</v>
      </c>
      <c r="C2080" s="3" t="str">
        <f>HYPERLINK("https://otsuka-europe-crm.veevavault.com/ui/#object/sent_email__v/VBLZ025E82GNOO3", "SE-000273738")</f>
        <v>SE-000273738</v>
      </c>
      <c r="D2080" s="4">
        <v>45916.887754629628</v>
      </c>
      <c r="E2080" s="5">
        <v>1</v>
      </c>
      <c r="F2080" s="5">
        <v>1</v>
      </c>
      <c r="G2080" s="5">
        <v>0</v>
      </c>
      <c r="H2080" s="4" t="s">
        <v>11</v>
      </c>
      <c r="I2080" s="5">
        <v>0</v>
      </c>
      <c r="J2080" s="4">
        <v>45916.294444444444</v>
      </c>
    </row>
    <row r="2081" spans="1:10" x14ac:dyDescent="0.2">
      <c r="A2081" s="2" t="s">
        <v>10</v>
      </c>
      <c r="B2081" s="3" t="str">
        <f t="shared" si="42"/>
        <v>France - HCP Survey Email - June 2025</v>
      </c>
      <c r="C2081" s="3" t="str">
        <f>HYPERLINK("https://otsuka-europe-crm.veevavault.com/ui/#object/sent_email__v/VBLZ025E82GNOO4", "SE-000273739")</f>
        <v>SE-000273739</v>
      </c>
      <c r="D2081" s="4" t="s">
        <v>11</v>
      </c>
      <c r="E2081" s="5">
        <v>0</v>
      </c>
      <c r="F2081" s="5">
        <v>0</v>
      </c>
      <c r="G2081" s="5">
        <v>0</v>
      </c>
      <c r="H2081" s="4" t="s">
        <v>11</v>
      </c>
      <c r="I2081" s="5">
        <v>0</v>
      </c>
      <c r="J2081" s="4">
        <v>45916.294305555559</v>
      </c>
    </row>
    <row r="2082" spans="1:10" x14ac:dyDescent="0.2">
      <c r="A2082" s="2" t="s">
        <v>10</v>
      </c>
      <c r="B2082" s="3" t="str">
        <f t="shared" si="42"/>
        <v>France - HCP Survey Email - June 2025</v>
      </c>
      <c r="C2082" s="3" t="str">
        <f>HYPERLINK("https://otsuka-europe-crm.veevavault.com/ui/#object/sent_email__v/VBLZ025E82GNOO6", "SE-000273741")</f>
        <v>SE-000273741</v>
      </c>
      <c r="D2082" s="4" t="s">
        <v>11</v>
      </c>
      <c r="E2082" s="5">
        <v>0</v>
      </c>
      <c r="F2082" s="5">
        <v>0</v>
      </c>
      <c r="G2082" s="5">
        <v>0</v>
      </c>
      <c r="H2082" s="4" t="s">
        <v>11</v>
      </c>
      <c r="I2082" s="5">
        <v>0</v>
      </c>
      <c r="J2082" s="4">
        <v>45916.294664351852</v>
      </c>
    </row>
    <row r="2083" spans="1:10" x14ac:dyDescent="0.2">
      <c r="A2083" s="2" t="s">
        <v>10</v>
      </c>
      <c r="B2083" s="3" t="str">
        <f t="shared" si="42"/>
        <v>France - HCP Survey Email - June 2025</v>
      </c>
      <c r="C2083" s="3" t="str">
        <f>HYPERLINK("https://otsuka-europe-crm.veevavault.com/ui/#object/sent_email__v/VBLZ025E82GNOO7", "SE-000273742")</f>
        <v>SE-000273742</v>
      </c>
      <c r="D2083" s="4" t="s">
        <v>11</v>
      </c>
      <c r="E2083" s="5">
        <v>0</v>
      </c>
      <c r="F2083" s="5">
        <v>0</v>
      </c>
      <c r="G2083" s="5">
        <v>0</v>
      </c>
      <c r="H2083" s="4" t="s">
        <v>11</v>
      </c>
      <c r="I2083" s="5">
        <v>0</v>
      </c>
      <c r="J2083" s="4">
        <v>45916.294444444444</v>
      </c>
    </row>
    <row r="2084" spans="1:10" x14ac:dyDescent="0.2">
      <c r="A2084" s="2" t="s">
        <v>10</v>
      </c>
      <c r="B2084" s="3" t="str">
        <f t="shared" si="42"/>
        <v>France - HCP Survey Email - June 2025</v>
      </c>
      <c r="C2084" s="3" t="str">
        <f>HYPERLINK("https://otsuka-europe-crm.veevavault.com/ui/#object/sent_email__v/VBLZ025E82GNOO8", "SE-000273743")</f>
        <v>SE-000273743</v>
      </c>
      <c r="D2084" s="4" t="s">
        <v>11</v>
      </c>
      <c r="E2084" s="5">
        <v>0</v>
      </c>
      <c r="F2084" s="5">
        <v>0</v>
      </c>
      <c r="G2084" s="5">
        <v>0</v>
      </c>
      <c r="H2084" s="4" t="s">
        <v>11</v>
      </c>
      <c r="I2084" s="5">
        <v>0</v>
      </c>
      <c r="J2084" s="4">
        <v>45916.294293981482</v>
      </c>
    </row>
    <row r="2085" spans="1:10" x14ac:dyDescent="0.2">
      <c r="A2085" s="2" t="s">
        <v>10</v>
      </c>
      <c r="B2085" s="3" t="str">
        <f t="shared" si="42"/>
        <v>France - HCP Survey Email - June 2025</v>
      </c>
      <c r="C2085" s="3" t="str">
        <f>HYPERLINK("https://otsuka-europe-crm.veevavault.com/ui/#object/sent_email__v/VBLZ025E82GNOO9", "SE-000273744")</f>
        <v>SE-000273744</v>
      </c>
      <c r="D2085" s="4" t="s">
        <v>11</v>
      </c>
      <c r="E2085" s="5">
        <v>0</v>
      </c>
      <c r="F2085" s="5">
        <v>0</v>
      </c>
      <c r="G2085" s="5">
        <v>0</v>
      </c>
      <c r="H2085" s="4" t="s">
        <v>11</v>
      </c>
      <c r="I2085" s="5">
        <v>0</v>
      </c>
      <c r="J2085" s="4">
        <v>45916.294907407406</v>
      </c>
    </row>
    <row r="2086" spans="1:10" x14ac:dyDescent="0.2">
      <c r="A2086" s="2" t="s">
        <v>10</v>
      </c>
      <c r="B2086" s="3" t="str">
        <f t="shared" si="42"/>
        <v>France - HCP Survey Email - June 2025</v>
      </c>
      <c r="C2086" s="3" t="str">
        <f>HYPERLINK("https://otsuka-europe-crm.veevavault.com/ui/#object/sent_email__v/VBLZ025E82GNOOA", "SE-000273745")</f>
        <v>SE-000273745</v>
      </c>
      <c r="D2086" s="4" t="s">
        <v>11</v>
      </c>
      <c r="E2086" s="5">
        <v>0</v>
      </c>
      <c r="F2086" s="5">
        <v>0</v>
      </c>
      <c r="G2086" s="5">
        <v>0</v>
      </c>
      <c r="H2086" s="4" t="s">
        <v>11</v>
      </c>
      <c r="I2086" s="5">
        <v>0</v>
      </c>
      <c r="J2086" s="4">
        <v>45916.294745370367</v>
      </c>
    </row>
    <row r="2087" spans="1:10" x14ac:dyDescent="0.2">
      <c r="A2087" s="2" t="s">
        <v>10</v>
      </c>
      <c r="B2087" s="3" t="str">
        <f t="shared" si="42"/>
        <v>France - HCP Survey Email - June 2025</v>
      </c>
      <c r="C2087" s="3" t="str">
        <f>HYPERLINK("https://otsuka-europe-crm.veevavault.com/ui/#object/sent_email__v/VBLZ025E82GNOOB", "SE-000273746")</f>
        <v>SE-000273746</v>
      </c>
      <c r="D2087" s="4" t="s">
        <v>11</v>
      </c>
      <c r="E2087" s="5">
        <v>0</v>
      </c>
      <c r="F2087" s="5">
        <v>0</v>
      </c>
      <c r="G2087" s="5">
        <v>0</v>
      </c>
      <c r="H2087" s="4" t="s">
        <v>11</v>
      </c>
      <c r="I2087" s="5">
        <v>0</v>
      </c>
      <c r="J2087" s="4">
        <v>45916.294363425928</v>
      </c>
    </row>
    <row r="2088" spans="1:10" x14ac:dyDescent="0.2">
      <c r="A2088" s="2" t="s">
        <v>10</v>
      </c>
      <c r="B2088" s="3" t="str">
        <f t="shared" si="42"/>
        <v>France - HCP Survey Email - June 2025</v>
      </c>
      <c r="C2088" s="3" t="str">
        <f>HYPERLINK("https://otsuka-europe-crm.veevavault.com/ui/#object/sent_email__v/VBLZ025E82GNOOC", "SE-000273747")</f>
        <v>SE-000273747</v>
      </c>
      <c r="D2088" s="4" t="s">
        <v>11</v>
      </c>
      <c r="E2088" s="5">
        <v>0</v>
      </c>
      <c r="F2088" s="5">
        <v>0</v>
      </c>
      <c r="G2088" s="5">
        <v>0</v>
      </c>
      <c r="H2088" s="4" t="s">
        <v>11</v>
      </c>
      <c r="I2088" s="5">
        <v>0</v>
      </c>
      <c r="J2088" s="4">
        <v>45916.294398148151</v>
      </c>
    </row>
    <row r="2089" spans="1:10" x14ac:dyDescent="0.2">
      <c r="A2089" s="2" t="s">
        <v>10</v>
      </c>
      <c r="B2089" s="3" t="str">
        <f t="shared" si="42"/>
        <v>France - HCP Survey Email - June 2025</v>
      </c>
      <c r="C2089" s="3" t="str">
        <f>HYPERLINK("https://otsuka-europe-crm.veevavault.com/ui/#object/sent_email__v/VBLZ025E82GNOOD", "SE-000273748")</f>
        <v>SE-000273748</v>
      </c>
      <c r="D2089" s="4" t="s">
        <v>11</v>
      </c>
      <c r="E2089" s="5">
        <v>0</v>
      </c>
      <c r="F2089" s="5">
        <v>0</v>
      </c>
      <c r="G2089" s="5">
        <v>0</v>
      </c>
      <c r="H2089" s="4" t="s">
        <v>11</v>
      </c>
      <c r="I2089" s="5">
        <v>0</v>
      </c>
      <c r="J2089" s="4">
        <v>45916.294212962966</v>
      </c>
    </row>
    <row r="2090" spans="1:10" x14ac:dyDescent="0.2">
      <c r="A2090" s="2" t="s">
        <v>10</v>
      </c>
      <c r="B2090" s="3" t="str">
        <f t="shared" si="42"/>
        <v>France - HCP Survey Email - June 2025</v>
      </c>
      <c r="C2090" s="3" t="str">
        <f>HYPERLINK("https://otsuka-europe-crm.veevavault.com/ui/#object/sent_email__v/VBLZ025E82GNOOE", "SE-000273749")</f>
        <v>SE-000273749</v>
      </c>
      <c r="D2090" s="4">
        <v>45916.679270833331</v>
      </c>
      <c r="E2090" s="5">
        <v>1</v>
      </c>
      <c r="F2090" s="5">
        <v>1</v>
      </c>
      <c r="G2090" s="5">
        <v>1</v>
      </c>
      <c r="H2090" s="4">
        <v>45917.897696759261</v>
      </c>
      <c r="I2090" s="5">
        <v>1</v>
      </c>
      <c r="J2090" s="4">
        <v>45916.29478009259</v>
      </c>
    </row>
    <row r="2091" spans="1:10" x14ac:dyDescent="0.2">
      <c r="A2091" s="2" t="s">
        <v>10</v>
      </c>
      <c r="B2091" s="3" t="str">
        <f t="shared" si="42"/>
        <v>France - HCP Survey Email - June 2025</v>
      </c>
      <c r="C2091" s="3" t="str">
        <f>HYPERLINK("https://otsuka-europe-crm.veevavault.com/ui/#object/sent_email__v/VBLZ025E82GNOOF", "SE-000273750")</f>
        <v>SE-000273750</v>
      </c>
      <c r="D2091" s="4">
        <v>45916.748310185183</v>
      </c>
      <c r="E2091" s="5">
        <v>1</v>
      </c>
      <c r="F2091" s="5">
        <v>2</v>
      </c>
      <c r="G2091" s="5">
        <v>0</v>
      </c>
      <c r="H2091" s="4" t="s">
        <v>11</v>
      </c>
      <c r="I2091" s="5">
        <v>0</v>
      </c>
      <c r="J2091" s="4">
        <v>45916.294594907406</v>
      </c>
    </row>
    <row r="2092" spans="1:10" x14ac:dyDescent="0.2">
      <c r="A2092" s="2" t="s">
        <v>10</v>
      </c>
      <c r="B2092" s="3" t="str">
        <f t="shared" si="42"/>
        <v>France - HCP Survey Email - June 2025</v>
      </c>
      <c r="C2092" s="3" t="str">
        <f>HYPERLINK("https://otsuka-europe-crm.veevavault.com/ui/#object/sent_email__v/VBLZ025E82GNOOG", "SE-000273751")</f>
        <v>SE-000273751</v>
      </c>
      <c r="D2092" s="4" t="s">
        <v>11</v>
      </c>
      <c r="E2092" s="5">
        <v>0</v>
      </c>
      <c r="F2092" s="5">
        <v>0</v>
      </c>
      <c r="G2092" s="5">
        <v>0</v>
      </c>
      <c r="H2092" s="4" t="s">
        <v>11</v>
      </c>
      <c r="I2092" s="5">
        <v>0</v>
      </c>
      <c r="J2092" s="4">
        <v>45916.294270833336</v>
      </c>
    </row>
    <row r="2093" spans="1:10" x14ac:dyDescent="0.2">
      <c r="A2093" s="2" t="s">
        <v>10</v>
      </c>
      <c r="B2093" s="3" t="str">
        <f t="shared" si="42"/>
        <v>France - HCP Survey Email - June 2025</v>
      </c>
      <c r="C2093" s="3" t="str">
        <f>HYPERLINK("https://otsuka-europe-crm.veevavault.com/ui/#object/sent_email__v/VBLZ025E82GNOOH", "SE-000273752")</f>
        <v>SE-000273752</v>
      </c>
      <c r="D2093" s="4" t="s">
        <v>11</v>
      </c>
      <c r="E2093" s="5">
        <v>0</v>
      </c>
      <c r="F2093" s="5">
        <v>0</v>
      </c>
      <c r="G2093" s="5">
        <v>0</v>
      </c>
      <c r="H2093" s="4" t="s">
        <v>11</v>
      </c>
      <c r="I2093" s="5">
        <v>0</v>
      </c>
      <c r="J2093" s="4">
        <v>45916.295057870368</v>
      </c>
    </row>
    <row r="2094" spans="1:10" x14ac:dyDescent="0.2">
      <c r="A2094" s="2" t="s">
        <v>10</v>
      </c>
      <c r="B2094" s="3" t="str">
        <f t="shared" si="42"/>
        <v>France - HCP Survey Email - June 2025</v>
      </c>
      <c r="C2094" s="3" t="str">
        <f>HYPERLINK("https://otsuka-europe-crm.veevavault.com/ui/#object/sent_email__v/VBLZ025E82GNOOI", "SE-000273753")</f>
        <v>SE-000273753</v>
      </c>
      <c r="D2094" s="4">
        <v>45916.306805555556</v>
      </c>
      <c r="E2094" s="5">
        <v>1</v>
      </c>
      <c r="F2094" s="5">
        <v>1</v>
      </c>
      <c r="G2094" s="5">
        <v>0</v>
      </c>
      <c r="H2094" s="4" t="s">
        <v>11</v>
      </c>
      <c r="I2094" s="5">
        <v>0</v>
      </c>
      <c r="J2094" s="4">
        <v>45916.294687499998</v>
      </c>
    </row>
    <row r="2095" spans="1:10" x14ac:dyDescent="0.2">
      <c r="A2095" s="2" t="s">
        <v>10</v>
      </c>
      <c r="B2095" s="3" t="str">
        <f t="shared" si="42"/>
        <v>France - HCP Survey Email - June 2025</v>
      </c>
      <c r="C2095" s="3" t="str">
        <f>HYPERLINK("https://otsuka-europe-crm.veevavault.com/ui/#object/sent_email__v/VBLZ025E82GNOOJ", "SE-000273754")</f>
        <v>SE-000273754</v>
      </c>
      <c r="D2095" s="4" t="s">
        <v>11</v>
      </c>
      <c r="E2095" s="5">
        <v>0</v>
      </c>
      <c r="F2095" s="5">
        <v>0</v>
      </c>
      <c r="G2095" s="5">
        <v>0</v>
      </c>
      <c r="H2095" s="4" t="s">
        <v>11</v>
      </c>
      <c r="I2095" s="5">
        <v>0</v>
      </c>
      <c r="J2095" s="4">
        <v>45916.29451388889</v>
      </c>
    </row>
    <row r="2096" spans="1:10" x14ac:dyDescent="0.2">
      <c r="A2096" s="2" t="s">
        <v>10</v>
      </c>
      <c r="B2096" s="3" t="str">
        <f t="shared" si="42"/>
        <v>France - HCP Survey Email - June 2025</v>
      </c>
      <c r="C2096" s="3" t="str">
        <f>HYPERLINK("https://otsuka-europe-crm.veevavault.com/ui/#object/sent_email__v/VBLZ025E82GNOOK", "SE-000273755")</f>
        <v>SE-000273755</v>
      </c>
      <c r="D2096" s="4" t="s">
        <v>11</v>
      </c>
      <c r="E2096" s="5">
        <v>0</v>
      </c>
      <c r="F2096" s="5">
        <v>0</v>
      </c>
      <c r="G2096" s="5">
        <v>0</v>
      </c>
      <c r="H2096" s="4" t="s">
        <v>11</v>
      </c>
      <c r="I2096" s="5">
        <v>0</v>
      </c>
      <c r="J2096" s="4">
        <v>45916.294328703705</v>
      </c>
    </row>
    <row r="2097" spans="1:10" x14ac:dyDescent="0.2">
      <c r="A2097" s="2" t="s">
        <v>10</v>
      </c>
      <c r="B2097" s="3" t="str">
        <f t="shared" si="42"/>
        <v>France - HCP Survey Email - June 2025</v>
      </c>
      <c r="C2097" s="3" t="str">
        <f>HYPERLINK("https://otsuka-europe-crm.veevavault.com/ui/#object/sent_email__v/VBLZ025E82GNOOL", "SE-000273756")</f>
        <v>SE-000273756</v>
      </c>
      <c r="D2097" s="4" t="s">
        <v>11</v>
      </c>
      <c r="E2097" s="5">
        <v>0</v>
      </c>
      <c r="F2097" s="5">
        <v>0</v>
      </c>
      <c r="G2097" s="5">
        <v>0</v>
      </c>
      <c r="H2097" s="4" t="s">
        <v>11</v>
      </c>
      <c r="I2097" s="5">
        <v>0</v>
      </c>
      <c r="J2097" s="4">
        <v>45916.294849537036</v>
      </c>
    </row>
    <row r="2098" spans="1:10" x14ac:dyDescent="0.2">
      <c r="A2098" s="2" t="s">
        <v>10</v>
      </c>
      <c r="B2098" s="3" t="str">
        <f t="shared" si="42"/>
        <v>France - HCP Survey Email - June 2025</v>
      </c>
      <c r="C2098" s="3" t="str">
        <f>HYPERLINK("https://otsuka-europe-crm.veevavault.com/ui/#object/sent_email__v/VBLZ025E82GNOOM", "SE-000273757")</f>
        <v>SE-000273757</v>
      </c>
      <c r="D2098" s="4" t="s">
        <v>11</v>
      </c>
      <c r="E2098" s="5">
        <v>0</v>
      </c>
      <c r="F2098" s="5">
        <v>0</v>
      </c>
      <c r="G2098" s="5">
        <v>0</v>
      </c>
      <c r="H2098" s="4" t="s">
        <v>11</v>
      </c>
      <c r="I2098" s="5">
        <v>0</v>
      </c>
      <c r="J2098" s="4">
        <v>45916.294618055559</v>
      </c>
    </row>
    <row r="2099" spans="1:10" x14ac:dyDescent="0.2">
      <c r="A2099" s="2" t="s">
        <v>10</v>
      </c>
      <c r="B2099" s="3" t="str">
        <f t="shared" si="42"/>
        <v>France - HCP Survey Email - June 2025</v>
      </c>
      <c r="C2099" s="3" t="str">
        <f>HYPERLINK("https://otsuka-europe-crm.veevavault.com/ui/#object/sent_email__v/VBLZ025E82GNOON", "SE-000273758")</f>
        <v>SE-000273758</v>
      </c>
      <c r="D2099" s="4" t="s">
        <v>11</v>
      </c>
      <c r="E2099" s="5">
        <v>0</v>
      </c>
      <c r="F2099" s="5">
        <v>0</v>
      </c>
      <c r="G2099" s="5">
        <v>0</v>
      </c>
      <c r="H2099" s="4" t="s">
        <v>11</v>
      </c>
      <c r="I2099" s="5">
        <v>0</v>
      </c>
      <c r="J2099" s="4">
        <v>45916.294421296298</v>
      </c>
    </row>
    <row r="2100" spans="1:10" x14ac:dyDescent="0.2">
      <c r="A2100" s="2" t="s">
        <v>10</v>
      </c>
      <c r="B2100" s="3" t="str">
        <f t="shared" si="42"/>
        <v>France - HCP Survey Email - June 2025</v>
      </c>
      <c r="C2100" s="3" t="str">
        <f>HYPERLINK("https://otsuka-europe-crm.veevavault.com/ui/#object/sent_email__v/VBLZ025E82GNOOO", "SE-000273759")</f>
        <v>SE-000273759</v>
      </c>
      <c r="D2100" s="4" t="s">
        <v>11</v>
      </c>
      <c r="E2100" s="5">
        <v>0</v>
      </c>
      <c r="F2100" s="5">
        <v>0</v>
      </c>
      <c r="G2100" s="5">
        <v>0</v>
      </c>
      <c r="H2100" s="4" t="s">
        <v>11</v>
      </c>
      <c r="I2100" s="5">
        <v>0</v>
      </c>
      <c r="J2100" s="4">
        <v>45916.294270833336</v>
      </c>
    </row>
    <row r="2101" spans="1:10" x14ac:dyDescent="0.2">
      <c r="A2101" s="2" t="s">
        <v>10</v>
      </c>
      <c r="B2101" s="3" t="str">
        <f t="shared" si="42"/>
        <v>France - HCP Survey Email - June 2025</v>
      </c>
      <c r="C2101" s="3" t="str">
        <f>HYPERLINK("https://otsuka-europe-crm.veevavault.com/ui/#object/sent_email__v/VBLZ025E82GNOOP", "SE-000273760")</f>
        <v>SE-000273760</v>
      </c>
      <c r="D2101" s="4">
        <v>45916.343773148146</v>
      </c>
      <c r="E2101" s="5">
        <v>1</v>
      </c>
      <c r="F2101" s="5">
        <v>1</v>
      </c>
      <c r="G2101" s="5">
        <v>0</v>
      </c>
      <c r="H2101" s="4" t="s">
        <v>11</v>
      </c>
      <c r="I2101" s="5">
        <v>0</v>
      </c>
      <c r="J2101" s="4">
        <v>45916.294791666667</v>
      </c>
    </row>
    <row r="2102" spans="1:10" x14ac:dyDescent="0.2">
      <c r="A2102" s="2" t="s">
        <v>10</v>
      </c>
      <c r="B2102" s="3" t="str">
        <f t="shared" si="42"/>
        <v>France - HCP Survey Email - June 2025</v>
      </c>
      <c r="C2102" s="3" t="str">
        <f>HYPERLINK("https://otsuka-europe-crm.veevavault.com/ui/#object/sent_email__v/VBLZ025E82GNOOQ", "SE-000273761")</f>
        <v>SE-000273761</v>
      </c>
      <c r="D2102" s="4" t="s">
        <v>11</v>
      </c>
      <c r="E2102" s="5">
        <v>0</v>
      </c>
      <c r="F2102" s="5">
        <v>0</v>
      </c>
      <c r="G2102" s="5">
        <v>0</v>
      </c>
      <c r="H2102" s="4" t="s">
        <v>11</v>
      </c>
      <c r="I2102" s="5">
        <v>0</v>
      </c>
      <c r="J2102" s="4">
        <v>45916.294664351852</v>
      </c>
    </row>
    <row r="2103" spans="1:10" x14ac:dyDescent="0.2">
      <c r="A2103" s="2" t="s">
        <v>10</v>
      </c>
      <c r="B2103" s="3" t="str">
        <f t="shared" si="42"/>
        <v>France - HCP Survey Email - June 2025</v>
      </c>
      <c r="C2103" s="3" t="str">
        <f>HYPERLINK("https://otsuka-europe-crm.veevavault.com/ui/#object/sent_email__v/VBLZ025E82GNOOR", "SE-000273762")</f>
        <v>SE-000273762</v>
      </c>
      <c r="D2103" s="4" t="s">
        <v>11</v>
      </c>
      <c r="E2103" s="5">
        <v>0</v>
      </c>
      <c r="F2103" s="5">
        <v>0</v>
      </c>
      <c r="G2103" s="5">
        <v>0</v>
      </c>
      <c r="H2103" s="4" t="s">
        <v>11</v>
      </c>
      <c r="I2103" s="5">
        <v>0</v>
      </c>
      <c r="J2103" s="4">
        <v>45916.294293981482</v>
      </c>
    </row>
    <row r="2104" spans="1:10" x14ac:dyDescent="0.2">
      <c r="A2104" s="2" t="s">
        <v>10</v>
      </c>
      <c r="B2104" s="3" t="str">
        <f t="shared" si="42"/>
        <v>France - HCP Survey Email - June 2025</v>
      </c>
      <c r="C2104" s="3" t="str">
        <f>HYPERLINK("https://otsuka-europe-crm.veevavault.com/ui/#object/sent_email__v/VBLZ025E82GNOOS", "SE-000273763")</f>
        <v>SE-000273763</v>
      </c>
      <c r="D2104" s="4" t="s">
        <v>11</v>
      </c>
      <c r="E2104" s="5">
        <v>0</v>
      </c>
      <c r="F2104" s="5">
        <v>0</v>
      </c>
      <c r="G2104" s="5">
        <v>0</v>
      </c>
      <c r="H2104" s="4" t="s">
        <v>11</v>
      </c>
      <c r="I2104" s="5">
        <v>0</v>
      </c>
      <c r="J2104" s="4">
        <v>45916.295011574075</v>
      </c>
    </row>
    <row r="2105" spans="1:10" x14ac:dyDescent="0.2">
      <c r="A2105" s="2" t="s">
        <v>10</v>
      </c>
      <c r="B2105" s="3" t="str">
        <f t="shared" si="42"/>
        <v>France - HCP Survey Email - June 2025</v>
      </c>
      <c r="C2105" s="3" t="str">
        <f>HYPERLINK("https://otsuka-europe-crm.veevavault.com/ui/#object/sent_email__v/VBLZ025E82GNOOT", "SE-000273764")</f>
        <v>SE-000273764</v>
      </c>
      <c r="D2105" s="4" t="s">
        <v>11</v>
      </c>
      <c r="E2105" s="5">
        <v>0</v>
      </c>
      <c r="F2105" s="5">
        <v>0</v>
      </c>
      <c r="G2105" s="5">
        <v>0</v>
      </c>
      <c r="H2105" s="4" t="s">
        <v>11</v>
      </c>
      <c r="I2105" s="5">
        <v>0</v>
      </c>
      <c r="J2105" s="4">
        <v>45916.294699074075</v>
      </c>
    </row>
    <row r="2106" spans="1:10" x14ac:dyDescent="0.2">
      <c r="A2106" s="2" t="s">
        <v>10</v>
      </c>
      <c r="B2106" s="3" t="str">
        <f t="shared" si="42"/>
        <v>France - HCP Survey Email - June 2025</v>
      </c>
      <c r="C2106" s="3" t="str">
        <f>HYPERLINK("https://otsuka-europe-crm.veevavault.com/ui/#object/sent_email__v/VBLZ025E82GNOOU", "SE-000273765")</f>
        <v>SE-000273765</v>
      </c>
      <c r="D2106" s="4" t="s">
        <v>11</v>
      </c>
      <c r="E2106" s="5">
        <v>0</v>
      </c>
      <c r="F2106" s="5">
        <v>0</v>
      </c>
      <c r="G2106" s="5">
        <v>0</v>
      </c>
      <c r="H2106" s="4" t="s">
        <v>11</v>
      </c>
      <c r="I2106" s="5">
        <v>0</v>
      </c>
      <c r="J2106" s="4">
        <v>45916.294490740744</v>
      </c>
    </row>
    <row r="2107" spans="1:10" x14ac:dyDescent="0.2">
      <c r="A2107" s="2" t="s">
        <v>10</v>
      </c>
      <c r="B2107" s="3" t="str">
        <f t="shared" si="42"/>
        <v>France - HCP Survey Email - June 2025</v>
      </c>
      <c r="C2107" s="3" t="str">
        <f>HYPERLINK("https://otsuka-europe-crm.veevavault.com/ui/#object/sent_email__v/VBLZ025E82GNOOV", "SE-000273766")</f>
        <v>SE-000273766</v>
      </c>
      <c r="D2107" s="4" t="s">
        <v>11</v>
      </c>
      <c r="E2107" s="5">
        <v>0</v>
      </c>
      <c r="F2107" s="5">
        <v>0</v>
      </c>
      <c r="G2107" s="5">
        <v>0</v>
      </c>
      <c r="H2107" s="4" t="s">
        <v>11</v>
      </c>
      <c r="I2107" s="5">
        <v>0</v>
      </c>
      <c r="J2107" s="4">
        <v>45916.294259259259</v>
      </c>
    </row>
    <row r="2108" spans="1:10" x14ac:dyDescent="0.2">
      <c r="A2108" s="2" t="s">
        <v>10</v>
      </c>
      <c r="B2108" s="3" t="str">
        <f t="shared" si="42"/>
        <v>France - HCP Survey Email - June 2025</v>
      </c>
      <c r="C2108" s="3" t="str">
        <f>HYPERLINK("https://otsuka-europe-crm.veevavault.com/ui/#object/sent_email__v/VBLZ025E82GNOOW", "SE-000273767")</f>
        <v>SE-000273767</v>
      </c>
      <c r="D2108" s="4" t="s">
        <v>11</v>
      </c>
      <c r="E2108" s="5">
        <v>0</v>
      </c>
      <c r="F2108" s="5">
        <v>0</v>
      </c>
      <c r="G2108" s="5">
        <v>0</v>
      </c>
      <c r="H2108" s="4" t="s">
        <v>11</v>
      </c>
      <c r="I2108" s="5">
        <v>0</v>
      </c>
      <c r="J2108" s="4">
        <v>45916.294918981483</v>
      </c>
    </row>
    <row r="2109" spans="1:10" x14ac:dyDescent="0.2">
      <c r="A2109" s="2" t="s">
        <v>10</v>
      </c>
      <c r="B2109" s="3" t="str">
        <f t="shared" si="42"/>
        <v>France - HCP Survey Email - June 2025</v>
      </c>
      <c r="C2109" s="3" t="str">
        <f>HYPERLINK("https://otsuka-europe-crm.veevavault.com/ui/#object/sent_email__v/VBLZ025E82GNOOX", "SE-000273768")</f>
        <v>SE-000273768</v>
      </c>
      <c r="D2109" s="4" t="s">
        <v>11</v>
      </c>
      <c r="E2109" s="5">
        <v>0</v>
      </c>
      <c r="F2109" s="5">
        <v>0</v>
      </c>
      <c r="G2109" s="5">
        <v>0</v>
      </c>
      <c r="H2109" s="4" t="s">
        <v>11</v>
      </c>
      <c r="I2109" s="5">
        <v>0</v>
      </c>
      <c r="J2109" s="4">
        <v>45916.294710648152</v>
      </c>
    </row>
    <row r="2110" spans="1:10" x14ac:dyDescent="0.2">
      <c r="A2110" s="2" t="s">
        <v>10</v>
      </c>
      <c r="B2110" s="3" t="str">
        <f t="shared" si="42"/>
        <v>France - HCP Survey Email - June 2025</v>
      </c>
      <c r="C2110" s="3" t="str">
        <f>HYPERLINK("https://otsuka-europe-crm.veevavault.com/ui/#object/sent_email__v/VBLZ025E82GNOOY", "SE-000273769")</f>
        <v>SE-000273769</v>
      </c>
      <c r="D2110" s="4" t="s">
        <v>11</v>
      </c>
      <c r="E2110" s="5">
        <v>0</v>
      </c>
      <c r="F2110" s="5">
        <v>0</v>
      </c>
      <c r="G2110" s="5">
        <v>0</v>
      </c>
      <c r="H2110" s="4" t="s">
        <v>11</v>
      </c>
      <c r="I2110" s="5">
        <v>0</v>
      </c>
      <c r="J2110" s="4">
        <v>45916.294444444444</v>
      </c>
    </row>
    <row r="2111" spans="1:10" x14ac:dyDescent="0.2">
      <c r="A2111" s="2" t="s">
        <v>10</v>
      </c>
      <c r="B2111" s="3" t="str">
        <f t="shared" si="42"/>
        <v>France - HCP Survey Email - June 2025</v>
      </c>
      <c r="C2111" s="3" t="str">
        <f>HYPERLINK("https://otsuka-europe-crm.veevavault.com/ui/#object/sent_email__v/VBLZ025E82GNOOZ", "SE-000273770")</f>
        <v>SE-000273770</v>
      </c>
      <c r="D2111" s="4" t="s">
        <v>11</v>
      </c>
      <c r="E2111" s="5">
        <v>0</v>
      </c>
      <c r="F2111" s="5">
        <v>0</v>
      </c>
      <c r="G2111" s="5">
        <v>0</v>
      </c>
      <c r="H2111" s="4" t="s">
        <v>11</v>
      </c>
      <c r="I2111" s="5">
        <v>0</v>
      </c>
      <c r="J2111" s="4">
        <v>45916.294259259259</v>
      </c>
    </row>
    <row r="2112" spans="1:10" x14ac:dyDescent="0.2">
      <c r="A2112" s="2" t="s">
        <v>10</v>
      </c>
      <c r="B2112" s="3" t="str">
        <f t="shared" si="42"/>
        <v>France - HCP Survey Email - June 2025</v>
      </c>
      <c r="C2112" s="3" t="str">
        <f>HYPERLINK("https://otsuka-europe-crm.veevavault.com/ui/#object/sent_email__v/VBLZ025E82GNOP0", "SE-000273771")</f>
        <v>SE-000273771</v>
      </c>
      <c r="D2112" s="4" t="s">
        <v>11</v>
      </c>
      <c r="E2112" s="5">
        <v>0</v>
      </c>
      <c r="F2112" s="5">
        <v>0</v>
      </c>
      <c r="G2112" s="5">
        <v>0</v>
      </c>
      <c r="H2112" s="4" t="s">
        <v>11</v>
      </c>
      <c r="I2112" s="5">
        <v>0</v>
      </c>
      <c r="J2112" s="4">
        <v>45916.294942129629</v>
      </c>
    </row>
    <row r="2113" spans="1:10" x14ac:dyDescent="0.2">
      <c r="A2113" s="2" t="s">
        <v>10</v>
      </c>
      <c r="B2113" s="3" t="str">
        <f t="shared" ref="B2113:B2176" si="43">HYPERLINK("https://otsuka-europe-crm.veevavault.com/ui/#object/approved_document__v/V5OZ025E82TMV97", "France - HCP Survey Email - June 2025")</f>
        <v>France - HCP Survey Email - June 2025</v>
      </c>
      <c r="C2113" s="3" t="str">
        <f>HYPERLINK("https://otsuka-europe-crm.veevavault.com/ui/#object/sent_email__v/VBLZ025E82GNOP1", "SE-000273772")</f>
        <v>SE-000273772</v>
      </c>
      <c r="D2113" s="4">
        <v>45916.617615740739</v>
      </c>
      <c r="E2113" s="5">
        <v>1</v>
      </c>
      <c r="F2113" s="5">
        <v>1</v>
      </c>
      <c r="G2113" s="5">
        <v>0</v>
      </c>
      <c r="H2113" s="4" t="s">
        <v>11</v>
      </c>
      <c r="I2113" s="5">
        <v>0</v>
      </c>
      <c r="J2113" s="4">
        <v>45916.294525462959</v>
      </c>
    </row>
    <row r="2114" spans="1:10" x14ac:dyDescent="0.2">
      <c r="A2114" s="2" t="s">
        <v>10</v>
      </c>
      <c r="B2114" s="3" t="str">
        <f t="shared" si="43"/>
        <v>France - HCP Survey Email - June 2025</v>
      </c>
      <c r="C2114" s="3" t="str">
        <f>HYPERLINK("https://otsuka-europe-crm.veevavault.com/ui/#object/sent_email__v/VBLZ025E82GNOP2", "SE-000273773")</f>
        <v>SE-000273773</v>
      </c>
      <c r="D2114" s="4">
        <v>45921.42083333333</v>
      </c>
      <c r="E2114" s="5">
        <v>1</v>
      </c>
      <c r="F2114" s="5">
        <v>1</v>
      </c>
      <c r="G2114" s="5">
        <v>0</v>
      </c>
      <c r="H2114" s="4" t="s">
        <v>11</v>
      </c>
      <c r="I2114" s="5">
        <v>0</v>
      </c>
      <c r="J2114" s="4">
        <v>45916.294374999998</v>
      </c>
    </row>
    <row r="2115" spans="1:10" x14ac:dyDescent="0.2">
      <c r="A2115" s="2" t="s">
        <v>10</v>
      </c>
      <c r="B2115" s="3" t="str">
        <f t="shared" si="43"/>
        <v>France - HCP Survey Email - June 2025</v>
      </c>
      <c r="C2115" s="3" t="str">
        <f>HYPERLINK("https://otsuka-europe-crm.veevavault.com/ui/#object/sent_email__v/VBLZ025E82GNOP3", "SE-000273774")</f>
        <v>SE-000273774</v>
      </c>
      <c r="D2115" s="4" t="s">
        <v>11</v>
      </c>
      <c r="E2115" s="5">
        <v>0</v>
      </c>
      <c r="F2115" s="5">
        <v>0</v>
      </c>
      <c r="G2115" s="5">
        <v>0</v>
      </c>
      <c r="H2115" s="4" t="s">
        <v>11</v>
      </c>
      <c r="I2115" s="5">
        <v>0</v>
      </c>
      <c r="J2115" s="4">
        <v>45916.294953703706</v>
      </c>
    </row>
    <row r="2116" spans="1:10" x14ac:dyDescent="0.2">
      <c r="A2116" s="2" t="s">
        <v>10</v>
      </c>
      <c r="B2116" s="3" t="str">
        <f t="shared" si="43"/>
        <v>France - HCP Survey Email - June 2025</v>
      </c>
      <c r="C2116" s="3" t="str">
        <f>HYPERLINK("https://otsuka-europe-crm.veevavault.com/ui/#object/sent_email__v/VBLZ025E82GNOP4", "SE-000273775")</f>
        <v>SE-000273775</v>
      </c>
      <c r="D2116" s="4" t="s">
        <v>11</v>
      </c>
      <c r="E2116" s="5">
        <v>0</v>
      </c>
      <c r="F2116" s="5">
        <v>0</v>
      </c>
      <c r="G2116" s="5">
        <v>0</v>
      </c>
      <c r="H2116" s="4" t="s">
        <v>11</v>
      </c>
      <c r="I2116" s="5">
        <v>0</v>
      </c>
      <c r="J2116" s="4">
        <v>45916.29478009259</v>
      </c>
    </row>
    <row r="2117" spans="1:10" x14ac:dyDescent="0.2">
      <c r="A2117" s="2" t="s">
        <v>10</v>
      </c>
      <c r="B2117" s="3" t="str">
        <f t="shared" si="43"/>
        <v>France - HCP Survey Email - June 2025</v>
      </c>
      <c r="C2117" s="3" t="str">
        <f>HYPERLINK("https://otsuka-europe-crm.veevavault.com/ui/#object/sent_email__v/VBLZ025E82GNOP5", "SE-000273776")</f>
        <v>SE-000273776</v>
      </c>
      <c r="D2117" s="4" t="s">
        <v>11</v>
      </c>
      <c r="E2117" s="5">
        <v>0</v>
      </c>
      <c r="F2117" s="5">
        <v>0</v>
      </c>
      <c r="G2117" s="5">
        <v>0</v>
      </c>
      <c r="H2117" s="4" t="s">
        <v>11</v>
      </c>
      <c r="I2117" s="5">
        <v>0</v>
      </c>
      <c r="J2117" s="4">
        <v>45916.294502314813</v>
      </c>
    </row>
    <row r="2118" spans="1:10" x14ac:dyDescent="0.2">
      <c r="A2118" s="2" t="s">
        <v>10</v>
      </c>
      <c r="B2118" s="3" t="str">
        <f t="shared" si="43"/>
        <v>France - HCP Survey Email - June 2025</v>
      </c>
      <c r="C2118" s="3" t="str">
        <f>HYPERLINK("https://otsuka-europe-crm.veevavault.com/ui/#object/sent_email__v/VBLZ025E82GNOP7", "SE-000273778")</f>
        <v>SE-000273778</v>
      </c>
      <c r="D2118" s="4" t="s">
        <v>11</v>
      </c>
      <c r="E2118" s="5">
        <v>0</v>
      </c>
      <c r="F2118" s="5">
        <v>0</v>
      </c>
      <c r="G2118" s="5">
        <v>0</v>
      </c>
      <c r="H2118" s="4" t="s">
        <v>11</v>
      </c>
      <c r="I2118" s="5">
        <v>0</v>
      </c>
      <c r="J2118" s="4">
        <v>45916.294976851852</v>
      </c>
    </row>
    <row r="2119" spans="1:10" x14ac:dyDescent="0.2">
      <c r="A2119" s="2" t="s">
        <v>10</v>
      </c>
      <c r="B2119" s="3" t="str">
        <f t="shared" si="43"/>
        <v>France - HCP Survey Email - June 2025</v>
      </c>
      <c r="C2119" s="3" t="str">
        <f>HYPERLINK("https://otsuka-europe-crm.veevavault.com/ui/#object/sent_email__v/VBLZ025E82GNOP8", "SE-000273779")</f>
        <v>SE-000273779</v>
      </c>
      <c r="D2119" s="4" t="s">
        <v>11</v>
      </c>
      <c r="E2119" s="5">
        <v>0</v>
      </c>
      <c r="F2119" s="5">
        <v>0</v>
      </c>
      <c r="G2119" s="5">
        <v>0</v>
      </c>
      <c r="H2119" s="4" t="s">
        <v>11</v>
      </c>
      <c r="I2119" s="5">
        <v>0</v>
      </c>
      <c r="J2119" s="4">
        <v>45916.294675925928</v>
      </c>
    </row>
    <row r="2120" spans="1:10" x14ac:dyDescent="0.2">
      <c r="A2120" s="2" t="s">
        <v>10</v>
      </c>
      <c r="B2120" s="3" t="str">
        <f t="shared" si="43"/>
        <v>France - HCP Survey Email - June 2025</v>
      </c>
      <c r="C2120" s="3" t="str">
        <f>HYPERLINK("https://otsuka-europe-crm.veevavault.com/ui/#object/sent_email__v/VBLZ025E82GNOP9", "SE-000273780")</f>
        <v>SE-000273780</v>
      </c>
      <c r="D2120" s="4" t="s">
        <v>11</v>
      </c>
      <c r="E2120" s="5">
        <v>0</v>
      </c>
      <c r="F2120" s="5">
        <v>0</v>
      </c>
      <c r="G2120" s="5">
        <v>0</v>
      </c>
      <c r="H2120" s="4" t="s">
        <v>11</v>
      </c>
      <c r="I2120" s="5">
        <v>0</v>
      </c>
      <c r="J2120" s="4">
        <v>45916.294432870367</v>
      </c>
    </row>
    <row r="2121" spans="1:10" x14ac:dyDescent="0.2">
      <c r="A2121" s="2" t="s">
        <v>10</v>
      </c>
      <c r="B2121" s="3" t="str">
        <f t="shared" si="43"/>
        <v>France - HCP Survey Email - June 2025</v>
      </c>
      <c r="C2121" s="3" t="str">
        <f>HYPERLINK("https://otsuka-europe-crm.veevavault.com/ui/#object/sent_email__v/VBLZ025E82GNOPA", "SE-000273781")</f>
        <v>SE-000273781</v>
      </c>
      <c r="D2121" s="4" t="s">
        <v>11</v>
      </c>
      <c r="E2121" s="5">
        <v>0</v>
      </c>
      <c r="F2121" s="5">
        <v>0</v>
      </c>
      <c r="G2121" s="5">
        <v>0</v>
      </c>
      <c r="H2121" s="4" t="s">
        <v>11</v>
      </c>
      <c r="I2121" s="5">
        <v>0</v>
      </c>
      <c r="J2121" s="4">
        <v>45916.294259259259</v>
      </c>
    </row>
    <row r="2122" spans="1:10" x14ac:dyDescent="0.2">
      <c r="A2122" s="2" t="s">
        <v>10</v>
      </c>
      <c r="B2122" s="3" t="str">
        <f t="shared" si="43"/>
        <v>France - HCP Survey Email - June 2025</v>
      </c>
      <c r="C2122" s="3" t="str">
        <f>HYPERLINK("https://otsuka-europe-crm.veevavault.com/ui/#object/sent_email__v/VBLZ025E82GNOPB", "SE-000273782")</f>
        <v>SE-000273782</v>
      </c>
      <c r="D2122" s="4" t="s">
        <v>11</v>
      </c>
      <c r="E2122" s="5">
        <v>0</v>
      </c>
      <c r="F2122" s="5">
        <v>0</v>
      </c>
      <c r="G2122" s="5">
        <v>0</v>
      </c>
      <c r="H2122" s="4" t="s">
        <v>11</v>
      </c>
      <c r="I2122" s="5">
        <v>0</v>
      </c>
      <c r="J2122" s="4">
        <v>45916.294803240744</v>
      </c>
    </row>
    <row r="2123" spans="1:10" x14ac:dyDescent="0.2">
      <c r="A2123" s="2" t="s">
        <v>10</v>
      </c>
      <c r="B2123" s="3" t="str">
        <f t="shared" si="43"/>
        <v>France - HCP Survey Email - June 2025</v>
      </c>
      <c r="C2123" s="3" t="str">
        <f>HYPERLINK("https://otsuka-europe-crm.veevavault.com/ui/#object/sent_email__v/VBLZ025E82GNOPC", "SE-000273783")</f>
        <v>SE-000273783</v>
      </c>
      <c r="D2123" s="4" t="s">
        <v>11</v>
      </c>
      <c r="E2123" s="5">
        <v>0</v>
      </c>
      <c r="F2123" s="5">
        <v>0</v>
      </c>
      <c r="G2123" s="5">
        <v>0</v>
      </c>
      <c r="H2123" s="4" t="s">
        <v>11</v>
      </c>
      <c r="I2123" s="5">
        <v>0</v>
      </c>
      <c r="J2123" s="4">
        <v>45916.294675925928</v>
      </c>
    </row>
    <row r="2124" spans="1:10" x14ac:dyDescent="0.2">
      <c r="A2124" s="2" t="s">
        <v>10</v>
      </c>
      <c r="B2124" s="3" t="str">
        <f t="shared" si="43"/>
        <v>France - HCP Survey Email - June 2025</v>
      </c>
      <c r="C2124" s="3" t="str">
        <f>HYPERLINK("https://otsuka-europe-crm.veevavault.com/ui/#object/sent_email__v/VBLZ025E82GNOPD", "SE-000273784")</f>
        <v>SE-000273784</v>
      </c>
      <c r="D2124" s="4" t="s">
        <v>11</v>
      </c>
      <c r="E2124" s="5">
        <v>0</v>
      </c>
      <c r="F2124" s="5">
        <v>0</v>
      </c>
      <c r="G2124" s="5">
        <v>0</v>
      </c>
      <c r="H2124" s="4" t="s">
        <v>11</v>
      </c>
      <c r="I2124" s="5">
        <v>0</v>
      </c>
      <c r="J2124" s="4">
        <v>45916.294479166667</v>
      </c>
    </row>
    <row r="2125" spans="1:10" x14ac:dyDescent="0.2">
      <c r="A2125" s="2" t="s">
        <v>10</v>
      </c>
      <c r="B2125" s="3" t="str">
        <f t="shared" si="43"/>
        <v>France - HCP Survey Email - June 2025</v>
      </c>
      <c r="C2125" s="3" t="str">
        <f>HYPERLINK("https://otsuka-europe-crm.veevavault.com/ui/#object/sent_email__v/VBLZ025E82GNOPE", "SE-000273785")</f>
        <v>SE-000273785</v>
      </c>
      <c r="D2125" s="4" t="s">
        <v>11</v>
      </c>
      <c r="E2125" s="5">
        <v>0</v>
      </c>
      <c r="F2125" s="5">
        <v>0</v>
      </c>
      <c r="G2125" s="5">
        <v>0</v>
      </c>
      <c r="H2125" s="4" t="s">
        <v>11</v>
      </c>
      <c r="I2125" s="5">
        <v>0</v>
      </c>
      <c r="J2125" s="4">
        <v>45916.294212962966</v>
      </c>
    </row>
    <row r="2126" spans="1:10" x14ac:dyDescent="0.2">
      <c r="A2126" s="2" t="s">
        <v>10</v>
      </c>
      <c r="B2126" s="3" t="str">
        <f t="shared" si="43"/>
        <v>France - HCP Survey Email - June 2025</v>
      </c>
      <c r="C2126" s="3" t="str">
        <f>HYPERLINK("https://otsuka-europe-crm.veevavault.com/ui/#object/sent_email__v/VBLZ025E82GNOPH", "SE-000273788")</f>
        <v>SE-000273788</v>
      </c>
      <c r="D2126" s="4" t="s">
        <v>11</v>
      </c>
      <c r="E2126" s="5">
        <v>0</v>
      </c>
      <c r="F2126" s="5">
        <v>0</v>
      </c>
      <c r="G2126" s="5">
        <v>0</v>
      </c>
      <c r="H2126" s="4" t="s">
        <v>11</v>
      </c>
      <c r="I2126" s="5">
        <v>0</v>
      </c>
      <c r="J2126" s="4">
        <v>45916.294351851851</v>
      </c>
    </row>
    <row r="2127" spans="1:10" x14ac:dyDescent="0.2">
      <c r="A2127" s="2" t="s">
        <v>10</v>
      </c>
      <c r="B2127" s="3" t="str">
        <f t="shared" si="43"/>
        <v>France - HCP Survey Email - June 2025</v>
      </c>
      <c r="C2127" s="3" t="str">
        <f>HYPERLINK("https://otsuka-europe-crm.veevavault.com/ui/#object/sent_email__v/VBLZ025E82GNOPI", "SE-000273789")</f>
        <v>SE-000273789</v>
      </c>
      <c r="D2127" s="4" t="s">
        <v>11</v>
      </c>
      <c r="E2127" s="5">
        <v>0</v>
      </c>
      <c r="F2127" s="5">
        <v>0</v>
      </c>
      <c r="G2127" s="5">
        <v>0</v>
      </c>
      <c r="H2127" s="4" t="s">
        <v>11</v>
      </c>
      <c r="I2127" s="5">
        <v>0</v>
      </c>
      <c r="J2127" s="4">
        <v>45916.294988425929</v>
      </c>
    </row>
    <row r="2128" spans="1:10" x14ac:dyDescent="0.2">
      <c r="A2128" s="2" t="s">
        <v>10</v>
      </c>
      <c r="B2128" s="3" t="str">
        <f t="shared" si="43"/>
        <v>France - HCP Survey Email - June 2025</v>
      </c>
      <c r="C2128" s="3" t="str">
        <f>HYPERLINK("https://otsuka-europe-crm.veevavault.com/ui/#object/sent_email__v/VBLZ025E82GNOPJ", "SE-000273790")</f>
        <v>SE-000273790</v>
      </c>
      <c r="D2128" s="4" t="s">
        <v>11</v>
      </c>
      <c r="E2128" s="5">
        <v>0</v>
      </c>
      <c r="F2128" s="5">
        <v>0</v>
      </c>
      <c r="G2128" s="5">
        <v>0</v>
      </c>
      <c r="H2128" s="4" t="s">
        <v>11</v>
      </c>
      <c r="I2128" s="5">
        <v>0</v>
      </c>
      <c r="J2128" s="4">
        <v>45916.294803240744</v>
      </c>
    </row>
    <row r="2129" spans="1:10" x14ac:dyDescent="0.2">
      <c r="A2129" s="2" t="s">
        <v>10</v>
      </c>
      <c r="B2129" s="3" t="str">
        <f t="shared" si="43"/>
        <v>France - HCP Survey Email - June 2025</v>
      </c>
      <c r="C2129" s="3" t="str">
        <f>HYPERLINK("https://otsuka-europe-crm.veevavault.com/ui/#object/sent_email__v/VBLZ025E82GNOPK", "SE-000273791")</f>
        <v>SE-000273791</v>
      </c>
      <c r="D2129" s="4">
        <v>45917.58053240741</v>
      </c>
      <c r="E2129" s="5">
        <v>1</v>
      </c>
      <c r="F2129" s="5">
        <v>2</v>
      </c>
      <c r="G2129" s="5">
        <v>0</v>
      </c>
      <c r="H2129" s="4" t="s">
        <v>11</v>
      </c>
      <c r="I2129" s="5">
        <v>0</v>
      </c>
      <c r="J2129" s="4">
        <v>45916.294525462959</v>
      </c>
    </row>
    <row r="2130" spans="1:10" x14ac:dyDescent="0.2">
      <c r="A2130" s="2" t="s">
        <v>10</v>
      </c>
      <c r="B2130" s="3" t="str">
        <f t="shared" si="43"/>
        <v>France - HCP Survey Email - June 2025</v>
      </c>
      <c r="C2130" s="3" t="str">
        <f>HYPERLINK("https://otsuka-europe-crm.veevavault.com/ui/#object/sent_email__v/VBLZ025E82GNOPL", "SE-000273792")</f>
        <v>SE-000273792</v>
      </c>
      <c r="D2130" s="4" t="s">
        <v>11</v>
      </c>
      <c r="E2130" s="5">
        <v>0</v>
      </c>
      <c r="F2130" s="5">
        <v>0</v>
      </c>
      <c r="G2130" s="5">
        <v>0</v>
      </c>
      <c r="H2130" s="4" t="s">
        <v>11</v>
      </c>
      <c r="I2130" s="5">
        <v>0</v>
      </c>
      <c r="J2130" s="4">
        <v>45916.294328703705</v>
      </c>
    </row>
    <row r="2131" spans="1:10" x14ac:dyDescent="0.2">
      <c r="A2131" s="2" t="s">
        <v>10</v>
      </c>
      <c r="B2131" s="3" t="str">
        <f t="shared" si="43"/>
        <v>France - HCP Survey Email - June 2025</v>
      </c>
      <c r="C2131" s="3" t="str">
        <f>HYPERLINK("https://otsuka-europe-crm.veevavault.com/ui/#object/sent_email__v/VBLZ025E82GNOPN", "SE-000273794")</f>
        <v>SE-000273794</v>
      </c>
      <c r="D2131" s="4" t="s">
        <v>11</v>
      </c>
      <c r="E2131" s="5">
        <v>0</v>
      </c>
      <c r="F2131" s="5">
        <v>0</v>
      </c>
      <c r="G2131" s="5">
        <v>0</v>
      </c>
      <c r="H2131" s="4" t="s">
        <v>11</v>
      </c>
      <c r="I2131" s="5">
        <v>0</v>
      </c>
      <c r="J2131" s="4">
        <v>45916.294618055559</v>
      </c>
    </row>
    <row r="2132" spans="1:10" x14ac:dyDescent="0.2">
      <c r="A2132" s="2" t="s">
        <v>10</v>
      </c>
      <c r="B2132" s="3" t="str">
        <f t="shared" si="43"/>
        <v>France - HCP Survey Email - June 2025</v>
      </c>
      <c r="C2132" s="3" t="str">
        <f>HYPERLINK("https://otsuka-europe-crm.veevavault.com/ui/#object/sent_email__v/VBLZ025E82GNOPO", "SE-000273795")</f>
        <v>SE-000273795</v>
      </c>
      <c r="D2132" s="4" t="s">
        <v>11</v>
      </c>
      <c r="E2132" s="5">
        <v>0</v>
      </c>
      <c r="F2132" s="5">
        <v>0</v>
      </c>
      <c r="G2132" s="5">
        <v>0</v>
      </c>
      <c r="H2132" s="4" t="s">
        <v>11</v>
      </c>
      <c r="I2132" s="5">
        <v>0</v>
      </c>
      <c r="J2132" s="4">
        <v>45916.29446759259</v>
      </c>
    </row>
    <row r="2133" spans="1:10" x14ac:dyDescent="0.2">
      <c r="A2133" s="2" t="s">
        <v>10</v>
      </c>
      <c r="B2133" s="3" t="str">
        <f t="shared" si="43"/>
        <v>France - HCP Survey Email - June 2025</v>
      </c>
      <c r="C2133" s="3" t="str">
        <f>HYPERLINK("https://otsuka-europe-crm.veevavault.com/ui/#object/sent_email__v/VBLZ025E82GNOPP", "SE-000273796")</f>
        <v>SE-000273796</v>
      </c>
      <c r="D2133" s="4" t="s">
        <v>11</v>
      </c>
      <c r="E2133" s="5">
        <v>0</v>
      </c>
      <c r="F2133" s="5">
        <v>0</v>
      </c>
      <c r="G2133" s="5">
        <v>0</v>
      </c>
      <c r="H2133" s="4" t="s">
        <v>11</v>
      </c>
      <c r="I2133" s="5">
        <v>0</v>
      </c>
      <c r="J2133" s="4">
        <v>45916.294189814813</v>
      </c>
    </row>
    <row r="2134" spans="1:10" x14ac:dyDescent="0.2">
      <c r="A2134" s="2" t="s">
        <v>10</v>
      </c>
      <c r="B2134" s="3" t="str">
        <f t="shared" si="43"/>
        <v>France - HCP Survey Email - June 2025</v>
      </c>
      <c r="C2134" s="3" t="str">
        <f>HYPERLINK("https://otsuka-europe-crm.veevavault.com/ui/#object/sent_email__v/VBLZ025E82GNOPQ", "SE-000273797")</f>
        <v>SE-000273797</v>
      </c>
      <c r="D2134" s="4" t="s">
        <v>11</v>
      </c>
      <c r="E2134" s="5">
        <v>0</v>
      </c>
      <c r="F2134" s="5">
        <v>0</v>
      </c>
      <c r="G2134" s="5">
        <v>0</v>
      </c>
      <c r="H2134" s="4" t="s">
        <v>11</v>
      </c>
      <c r="I2134" s="5">
        <v>0</v>
      </c>
      <c r="J2134" s="4">
        <v>45916.294849537036</v>
      </c>
    </row>
    <row r="2135" spans="1:10" x14ac:dyDescent="0.2">
      <c r="A2135" s="2" t="s">
        <v>10</v>
      </c>
      <c r="B2135" s="3" t="str">
        <f t="shared" si="43"/>
        <v>France - HCP Survey Email - June 2025</v>
      </c>
      <c r="C2135" s="3" t="str">
        <f>HYPERLINK("https://otsuka-europe-crm.veevavault.com/ui/#object/sent_email__v/VBLZ025E82GNOPR", "SE-000273798")</f>
        <v>SE-000273798</v>
      </c>
      <c r="D2135" s="4" t="s">
        <v>11</v>
      </c>
      <c r="E2135" s="5">
        <v>0</v>
      </c>
      <c r="F2135" s="5">
        <v>0</v>
      </c>
      <c r="G2135" s="5">
        <v>0</v>
      </c>
      <c r="H2135" s="4" t="s">
        <v>11</v>
      </c>
      <c r="I2135" s="5">
        <v>0</v>
      </c>
      <c r="J2135" s="4">
        <v>45916.294629629629</v>
      </c>
    </row>
    <row r="2136" spans="1:10" x14ac:dyDescent="0.2">
      <c r="A2136" s="2" t="s">
        <v>10</v>
      </c>
      <c r="B2136" s="3" t="str">
        <f t="shared" si="43"/>
        <v>France - HCP Survey Email - June 2025</v>
      </c>
      <c r="C2136" s="3" t="str">
        <f>HYPERLINK("https://otsuka-europe-crm.veevavault.com/ui/#object/sent_email__v/VBLZ025E82GNOPS", "SE-000273799")</f>
        <v>SE-000273799</v>
      </c>
      <c r="D2136" s="4" t="s">
        <v>11</v>
      </c>
      <c r="E2136" s="5">
        <v>0</v>
      </c>
      <c r="F2136" s="5">
        <v>0</v>
      </c>
      <c r="G2136" s="5">
        <v>0</v>
      </c>
      <c r="H2136" s="4" t="s">
        <v>11</v>
      </c>
      <c r="I2136" s="5">
        <v>0</v>
      </c>
      <c r="J2136" s="4">
        <v>45916.294270833336</v>
      </c>
    </row>
    <row r="2137" spans="1:10" x14ac:dyDescent="0.2">
      <c r="A2137" s="2" t="s">
        <v>10</v>
      </c>
      <c r="B2137" s="3" t="str">
        <f t="shared" si="43"/>
        <v>France - HCP Survey Email - June 2025</v>
      </c>
      <c r="C2137" s="3" t="str">
        <f>HYPERLINK("https://otsuka-europe-crm.veevavault.com/ui/#object/sent_email__v/VBLZ025E82GNOPT", "SE-000273800")</f>
        <v>SE-000273800</v>
      </c>
      <c r="D2137" s="4" t="s">
        <v>11</v>
      </c>
      <c r="E2137" s="5">
        <v>0</v>
      </c>
      <c r="F2137" s="5">
        <v>0</v>
      </c>
      <c r="G2137" s="5">
        <v>0</v>
      </c>
      <c r="H2137" s="4" t="s">
        <v>11</v>
      </c>
      <c r="I2137" s="5">
        <v>0</v>
      </c>
      <c r="J2137" s="4">
        <v>45916.295046296298</v>
      </c>
    </row>
    <row r="2138" spans="1:10" x14ac:dyDescent="0.2">
      <c r="A2138" s="2" t="s">
        <v>10</v>
      </c>
      <c r="B2138" s="3" t="str">
        <f t="shared" si="43"/>
        <v>France - HCP Survey Email - June 2025</v>
      </c>
      <c r="C2138" s="3" t="str">
        <f>HYPERLINK("https://otsuka-europe-crm.veevavault.com/ui/#object/sent_email__v/VBLZ025E82GNOPU", "SE-000273801")</f>
        <v>SE-000273801</v>
      </c>
      <c r="D2138" s="4">
        <v>45916.311805555553</v>
      </c>
      <c r="E2138" s="5">
        <v>1</v>
      </c>
      <c r="F2138" s="5">
        <v>2</v>
      </c>
      <c r="G2138" s="5">
        <v>0</v>
      </c>
      <c r="H2138" s="4" t="s">
        <v>11</v>
      </c>
      <c r="I2138" s="5">
        <v>0</v>
      </c>
      <c r="J2138" s="4">
        <v>45916.294733796298</v>
      </c>
    </row>
    <row r="2139" spans="1:10" x14ac:dyDescent="0.2">
      <c r="A2139" s="2" t="s">
        <v>10</v>
      </c>
      <c r="B2139" s="3" t="str">
        <f t="shared" si="43"/>
        <v>France - HCP Survey Email - June 2025</v>
      </c>
      <c r="C2139" s="3" t="str">
        <f>HYPERLINK("https://otsuka-europe-crm.veevavault.com/ui/#object/sent_email__v/VBLZ025E82GNOPV", "SE-000273802")</f>
        <v>SE-000273802</v>
      </c>
      <c r="D2139" s="4" t="s">
        <v>11</v>
      </c>
      <c r="E2139" s="5">
        <v>0</v>
      </c>
      <c r="F2139" s="5">
        <v>0</v>
      </c>
      <c r="G2139" s="5">
        <v>0</v>
      </c>
      <c r="H2139" s="4" t="s">
        <v>11</v>
      </c>
      <c r="I2139" s="5">
        <v>0</v>
      </c>
      <c r="J2139" s="4">
        <v>45916.294490740744</v>
      </c>
    </row>
    <row r="2140" spans="1:10" x14ac:dyDescent="0.2">
      <c r="A2140" s="2" t="s">
        <v>10</v>
      </c>
      <c r="B2140" s="3" t="str">
        <f t="shared" si="43"/>
        <v>France - HCP Survey Email - June 2025</v>
      </c>
      <c r="C2140" s="3" t="str">
        <f>HYPERLINK("https://otsuka-europe-crm.veevavault.com/ui/#object/sent_email__v/VBLZ025E82GNOPW", "SE-000273803")</f>
        <v>SE-000273803</v>
      </c>
      <c r="D2140" s="4" t="s">
        <v>11</v>
      </c>
      <c r="E2140" s="5">
        <v>0</v>
      </c>
      <c r="F2140" s="5">
        <v>0</v>
      </c>
      <c r="G2140" s="5">
        <v>0</v>
      </c>
      <c r="H2140" s="4" t="s">
        <v>11</v>
      </c>
      <c r="I2140" s="5">
        <v>0</v>
      </c>
      <c r="J2140" s="4">
        <v>45916.294293981482</v>
      </c>
    </row>
    <row r="2141" spans="1:10" x14ac:dyDescent="0.2">
      <c r="A2141" s="2" t="s">
        <v>10</v>
      </c>
      <c r="B2141" s="3" t="str">
        <f t="shared" si="43"/>
        <v>France - HCP Survey Email - June 2025</v>
      </c>
      <c r="C2141" s="3" t="str">
        <f>HYPERLINK("https://otsuka-europe-crm.veevavault.com/ui/#object/sent_email__v/VBLZ025E82GNOPX", "SE-000273804")</f>
        <v>SE-000273804</v>
      </c>
      <c r="D2141" s="4">
        <v>45916.302187499998</v>
      </c>
      <c r="E2141" s="5">
        <v>1</v>
      </c>
      <c r="F2141" s="5">
        <v>1</v>
      </c>
      <c r="G2141" s="5">
        <v>0</v>
      </c>
      <c r="H2141" s="4" t="s">
        <v>11</v>
      </c>
      <c r="I2141" s="5">
        <v>0</v>
      </c>
      <c r="J2141" s="4">
        <v>45916.294872685183</v>
      </c>
    </row>
    <row r="2142" spans="1:10" x14ac:dyDescent="0.2">
      <c r="A2142" s="2" t="s">
        <v>10</v>
      </c>
      <c r="B2142" s="3" t="str">
        <f t="shared" si="43"/>
        <v>France - HCP Survey Email - June 2025</v>
      </c>
      <c r="C2142" s="3" t="str">
        <f>HYPERLINK("https://otsuka-europe-crm.veevavault.com/ui/#object/sent_email__v/VBLZ025E82GNOPY", "SE-000273805")</f>
        <v>SE-000273805</v>
      </c>
      <c r="D2142" s="4">
        <v>45917.960162037038</v>
      </c>
      <c r="E2142" s="5">
        <v>1</v>
      </c>
      <c r="F2142" s="5">
        <v>1</v>
      </c>
      <c r="G2142" s="5">
        <v>1</v>
      </c>
      <c r="H2142" s="4">
        <v>45917.960497685184</v>
      </c>
      <c r="I2142" s="5">
        <v>1</v>
      </c>
      <c r="J2142" s="4">
        <v>45916.294594907406</v>
      </c>
    </row>
    <row r="2143" spans="1:10" x14ac:dyDescent="0.2">
      <c r="A2143" s="2" t="s">
        <v>10</v>
      </c>
      <c r="B2143" s="3" t="str">
        <f t="shared" si="43"/>
        <v>France - HCP Survey Email - June 2025</v>
      </c>
      <c r="C2143" s="3" t="str">
        <f>HYPERLINK("https://otsuka-europe-crm.veevavault.com/ui/#object/sent_email__v/VBLZ025E82GNOPZ", "SE-000273806")</f>
        <v>SE-000273806</v>
      </c>
      <c r="D2143" s="4" t="s">
        <v>11</v>
      </c>
      <c r="E2143" s="5">
        <v>0</v>
      </c>
      <c r="F2143" s="5">
        <v>0</v>
      </c>
      <c r="G2143" s="5">
        <v>0</v>
      </c>
      <c r="H2143" s="4" t="s">
        <v>11</v>
      </c>
      <c r="I2143" s="5">
        <v>0</v>
      </c>
      <c r="J2143" s="4">
        <v>45916.29451388889</v>
      </c>
    </row>
    <row r="2144" spans="1:10" x14ac:dyDescent="0.2">
      <c r="A2144" s="2" t="s">
        <v>10</v>
      </c>
      <c r="B2144" s="3" t="str">
        <f t="shared" si="43"/>
        <v>France - HCP Survey Email - June 2025</v>
      </c>
      <c r="C2144" s="3" t="str">
        <f>HYPERLINK("https://otsuka-europe-crm.veevavault.com/ui/#object/sent_email__v/VBLZ025E82GNOQ0", "SE-000273807")</f>
        <v>SE-000273807</v>
      </c>
      <c r="D2144" s="4" t="s">
        <v>11</v>
      </c>
      <c r="E2144" s="5">
        <v>0</v>
      </c>
      <c r="F2144" s="5">
        <v>0</v>
      </c>
      <c r="G2144" s="5">
        <v>0</v>
      </c>
      <c r="H2144" s="4" t="s">
        <v>11</v>
      </c>
      <c r="I2144" s="5">
        <v>0</v>
      </c>
      <c r="J2144" s="4">
        <v>45916.294212962966</v>
      </c>
    </row>
    <row r="2145" spans="1:10" x14ac:dyDescent="0.2">
      <c r="A2145" s="2" t="s">
        <v>10</v>
      </c>
      <c r="B2145" s="3" t="str">
        <f t="shared" si="43"/>
        <v>France - HCP Survey Email - June 2025</v>
      </c>
      <c r="C2145" s="3" t="str">
        <f>HYPERLINK("https://otsuka-europe-crm.veevavault.com/ui/#object/sent_email__v/VBLZ025E82GNOQ1", "SE-000273808")</f>
        <v>SE-000273808</v>
      </c>
      <c r="D2145" s="4">
        <v>45916.351076388892</v>
      </c>
      <c r="E2145" s="5">
        <v>1</v>
      </c>
      <c r="F2145" s="5">
        <v>1</v>
      </c>
      <c r="G2145" s="5">
        <v>0</v>
      </c>
      <c r="H2145" s="4" t="s">
        <v>11</v>
      </c>
      <c r="I2145" s="5">
        <v>0</v>
      </c>
      <c r="J2145" s="4">
        <v>45916.294791666667</v>
      </c>
    </row>
    <row r="2146" spans="1:10" x14ac:dyDescent="0.2">
      <c r="A2146" s="2" t="s">
        <v>10</v>
      </c>
      <c r="B2146" s="3" t="str">
        <f t="shared" si="43"/>
        <v>France - HCP Survey Email - June 2025</v>
      </c>
      <c r="C2146" s="3" t="str">
        <f>HYPERLINK("https://otsuka-europe-crm.veevavault.com/ui/#object/sent_email__v/VBLZ025E82GNOQ2", "SE-000273809")</f>
        <v>SE-000273809</v>
      </c>
      <c r="D2146" s="4">
        <v>45916.516030092593</v>
      </c>
      <c r="E2146" s="5">
        <v>1</v>
      </c>
      <c r="F2146" s="5">
        <v>1</v>
      </c>
      <c r="G2146" s="5">
        <v>0</v>
      </c>
      <c r="H2146" s="4" t="s">
        <v>11</v>
      </c>
      <c r="I2146" s="5">
        <v>0</v>
      </c>
      <c r="J2146" s="4">
        <v>45916.29482638889</v>
      </c>
    </row>
    <row r="2147" spans="1:10" x14ac:dyDescent="0.2">
      <c r="A2147" s="2" t="s">
        <v>10</v>
      </c>
      <c r="B2147" s="3" t="str">
        <f t="shared" si="43"/>
        <v>France - HCP Survey Email - June 2025</v>
      </c>
      <c r="C2147" s="3" t="str">
        <f>HYPERLINK("https://otsuka-europe-crm.veevavault.com/ui/#object/sent_email__v/VBLZ025E82GNOQ3", "SE-000273810")</f>
        <v>SE-000273810</v>
      </c>
      <c r="D2147" s="4" t="s">
        <v>11</v>
      </c>
      <c r="E2147" s="5">
        <v>0</v>
      </c>
      <c r="F2147" s="5">
        <v>0</v>
      </c>
      <c r="G2147" s="5">
        <v>0</v>
      </c>
      <c r="H2147" s="4" t="s">
        <v>11</v>
      </c>
      <c r="I2147" s="5">
        <v>0</v>
      </c>
      <c r="J2147" s="4">
        <v>45916.294710648152</v>
      </c>
    </row>
    <row r="2148" spans="1:10" x14ac:dyDescent="0.2">
      <c r="A2148" s="2" t="s">
        <v>10</v>
      </c>
      <c r="B2148" s="3" t="str">
        <f t="shared" si="43"/>
        <v>France - HCP Survey Email - June 2025</v>
      </c>
      <c r="C2148" s="3" t="str">
        <f>HYPERLINK("https://otsuka-europe-crm.veevavault.com/ui/#object/sent_email__v/VBLZ025E82GNOQ4", "SE-000273811")</f>
        <v>SE-000273811</v>
      </c>
      <c r="D2148" s="4" t="s">
        <v>11</v>
      </c>
      <c r="E2148" s="5">
        <v>0</v>
      </c>
      <c r="F2148" s="5">
        <v>0</v>
      </c>
      <c r="G2148" s="5">
        <v>0</v>
      </c>
      <c r="H2148" s="4" t="s">
        <v>11</v>
      </c>
      <c r="I2148" s="5">
        <v>0</v>
      </c>
      <c r="J2148" s="4">
        <v>45916.294386574074</v>
      </c>
    </row>
    <row r="2149" spans="1:10" x14ac:dyDescent="0.2">
      <c r="A2149" s="2" t="s">
        <v>10</v>
      </c>
      <c r="B2149" s="3" t="str">
        <f t="shared" si="43"/>
        <v>France - HCP Survey Email - June 2025</v>
      </c>
      <c r="C2149" s="3" t="str">
        <f>HYPERLINK("https://otsuka-europe-crm.veevavault.com/ui/#object/sent_email__v/VBLZ025E82GNOQ5", "SE-000273812")</f>
        <v>SE-000273812</v>
      </c>
      <c r="D2149" s="4">
        <v>45919.836736111109</v>
      </c>
      <c r="E2149" s="5">
        <v>1</v>
      </c>
      <c r="F2149" s="5">
        <v>3</v>
      </c>
      <c r="G2149" s="5">
        <v>0</v>
      </c>
      <c r="H2149" s="4" t="s">
        <v>11</v>
      </c>
      <c r="I2149" s="5">
        <v>0</v>
      </c>
      <c r="J2149" s="4">
        <v>45916.29420138889</v>
      </c>
    </row>
    <row r="2150" spans="1:10" x14ac:dyDescent="0.2">
      <c r="A2150" s="2" t="s">
        <v>10</v>
      </c>
      <c r="B2150" s="3" t="str">
        <f t="shared" si="43"/>
        <v>France - HCP Survey Email - June 2025</v>
      </c>
      <c r="C2150" s="3" t="str">
        <f>HYPERLINK("https://otsuka-europe-crm.veevavault.com/ui/#object/sent_email__v/VBLZ025E82GNOQ6", "SE-000273813")</f>
        <v>SE-000273813</v>
      </c>
      <c r="D2150" s="4" t="s">
        <v>11</v>
      </c>
      <c r="E2150" s="5">
        <v>0</v>
      </c>
      <c r="F2150" s="5">
        <v>0</v>
      </c>
      <c r="G2150" s="5">
        <v>0</v>
      </c>
      <c r="H2150" s="4" t="s">
        <v>11</v>
      </c>
      <c r="I2150" s="5">
        <v>0</v>
      </c>
      <c r="J2150" s="4">
        <v>45916.294918981483</v>
      </c>
    </row>
    <row r="2151" spans="1:10" x14ac:dyDescent="0.2">
      <c r="A2151" s="2" t="s">
        <v>10</v>
      </c>
      <c r="B2151" s="3" t="str">
        <f t="shared" si="43"/>
        <v>France - HCP Survey Email - June 2025</v>
      </c>
      <c r="C2151" s="3" t="str">
        <f>HYPERLINK("https://otsuka-europe-crm.veevavault.com/ui/#object/sent_email__v/VBLZ025E82GNOQ7", "SE-000273814")</f>
        <v>SE-000273814</v>
      </c>
      <c r="D2151" s="4">
        <v>46022.629780092589</v>
      </c>
      <c r="E2151" s="5">
        <v>1</v>
      </c>
      <c r="F2151" s="5">
        <v>3</v>
      </c>
      <c r="G2151" s="5">
        <v>0</v>
      </c>
      <c r="H2151" s="4" t="s">
        <v>11</v>
      </c>
      <c r="I2151" s="5">
        <v>0</v>
      </c>
      <c r="J2151" s="4">
        <v>45916.294629629629</v>
      </c>
    </row>
    <row r="2152" spans="1:10" x14ac:dyDescent="0.2">
      <c r="A2152" s="2" t="s">
        <v>10</v>
      </c>
      <c r="B2152" s="3" t="str">
        <f t="shared" si="43"/>
        <v>France - HCP Survey Email - June 2025</v>
      </c>
      <c r="C2152" s="3" t="str">
        <f>HYPERLINK("https://otsuka-europe-crm.veevavault.com/ui/#object/sent_email__v/VBLZ025E82GNOQ8", "SE-000273815")</f>
        <v>SE-000273815</v>
      </c>
      <c r="D2152" s="4" t="s">
        <v>11</v>
      </c>
      <c r="E2152" s="5">
        <v>0</v>
      </c>
      <c r="F2152" s="5">
        <v>0</v>
      </c>
      <c r="G2152" s="5">
        <v>0</v>
      </c>
      <c r="H2152" s="4" t="s">
        <v>11</v>
      </c>
      <c r="I2152" s="5">
        <v>0</v>
      </c>
      <c r="J2152" s="4">
        <v>45916.294351851851</v>
      </c>
    </row>
    <row r="2153" spans="1:10" x14ac:dyDescent="0.2">
      <c r="A2153" s="2" t="s">
        <v>10</v>
      </c>
      <c r="B2153" s="3" t="str">
        <f t="shared" si="43"/>
        <v>France - HCP Survey Email - June 2025</v>
      </c>
      <c r="C2153" s="3" t="str">
        <f>HYPERLINK("https://otsuka-europe-crm.veevavault.com/ui/#object/sent_email__v/VBLZ025E82GNOQA", "SE-000273817")</f>
        <v>SE-000273817</v>
      </c>
      <c r="D2153" s="4" t="s">
        <v>11</v>
      </c>
      <c r="E2153" s="5">
        <v>0</v>
      </c>
      <c r="F2153" s="5">
        <v>0</v>
      </c>
      <c r="G2153" s="5">
        <v>0</v>
      </c>
      <c r="H2153" s="4" t="s">
        <v>11</v>
      </c>
      <c r="I2153" s="5">
        <v>0</v>
      </c>
      <c r="J2153" s="4">
        <v>45916.294756944444</v>
      </c>
    </row>
    <row r="2154" spans="1:10" x14ac:dyDescent="0.2">
      <c r="A2154" s="2" t="s">
        <v>10</v>
      </c>
      <c r="B2154" s="3" t="str">
        <f t="shared" si="43"/>
        <v>France - HCP Survey Email - June 2025</v>
      </c>
      <c r="C2154" s="3" t="str">
        <f>HYPERLINK("https://otsuka-europe-crm.veevavault.com/ui/#object/sent_email__v/VBLZ025E82GNOQB", "SE-000273818")</f>
        <v>SE-000273818</v>
      </c>
      <c r="D2154" s="4">
        <v>45917.452581018515</v>
      </c>
      <c r="E2154" s="5">
        <v>1</v>
      </c>
      <c r="F2154" s="5">
        <v>1</v>
      </c>
      <c r="G2154" s="5">
        <v>0</v>
      </c>
      <c r="H2154" s="4" t="s">
        <v>11</v>
      </c>
      <c r="I2154" s="5">
        <v>0</v>
      </c>
      <c r="J2154" s="4">
        <v>45916.294456018521</v>
      </c>
    </row>
    <row r="2155" spans="1:10" x14ac:dyDescent="0.2">
      <c r="A2155" s="2" t="s">
        <v>10</v>
      </c>
      <c r="B2155" s="3" t="str">
        <f t="shared" si="43"/>
        <v>France - HCP Survey Email - June 2025</v>
      </c>
      <c r="C2155" s="3" t="str">
        <f>HYPERLINK("https://otsuka-europe-crm.veevavault.com/ui/#object/sent_email__v/VBLZ025E82GNOQC", "SE-000273819")</f>
        <v>SE-000273819</v>
      </c>
      <c r="D2155" s="4">
        <v>45916.297743055555</v>
      </c>
      <c r="E2155" s="5">
        <v>1</v>
      </c>
      <c r="F2155" s="5">
        <v>2</v>
      </c>
      <c r="G2155" s="5">
        <v>0</v>
      </c>
      <c r="H2155" s="4" t="s">
        <v>11</v>
      </c>
      <c r="I2155" s="5">
        <v>0</v>
      </c>
      <c r="J2155" s="4">
        <v>45916.294340277775</v>
      </c>
    </row>
    <row r="2156" spans="1:10" x14ac:dyDescent="0.2">
      <c r="A2156" s="2" t="s">
        <v>10</v>
      </c>
      <c r="B2156" s="3" t="str">
        <f t="shared" si="43"/>
        <v>France - HCP Survey Email - June 2025</v>
      </c>
      <c r="C2156" s="3" t="str">
        <f>HYPERLINK("https://otsuka-europe-crm.veevavault.com/ui/#object/sent_email__v/VBLZ025E82GNOQE", "SE-000273821")</f>
        <v>SE-000273821</v>
      </c>
      <c r="D2156" s="4" t="s">
        <v>11</v>
      </c>
      <c r="E2156" s="5">
        <v>0</v>
      </c>
      <c r="F2156" s="5">
        <v>0</v>
      </c>
      <c r="G2156" s="5">
        <v>0</v>
      </c>
      <c r="H2156" s="4" t="s">
        <v>11</v>
      </c>
      <c r="I2156" s="5">
        <v>0</v>
      </c>
      <c r="J2156" s="4">
        <v>45916.294687499998</v>
      </c>
    </row>
    <row r="2157" spans="1:10" x14ac:dyDescent="0.2">
      <c r="A2157" s="2" t="s">
        <v>10</v>
      </c>
      <c r="B2157" s="3" t="str">
        <f t="shared" si="43"/>
        <v>France - HCP Survey Email - June 2025</v>
      </c>
      <c r="C2157" s="3" t="str">
        <f>HYPERLINK("https://otsuka-europe-crm.veevavault.com/ui/#object/sent_email__v/VBLZ025E82GNOQF", "SE-000273822")</f>
        <v>SE-000273822</v>
      </c>
      <c r="D2157" s="4" t="s">
        <v>11</v>
      </c>
      <c r="E2157" s="5">
        <v>0</v>
      </c>
      <c r="F2157" s="5">
        <v>0</v>
      </c>
      <c r="G2157" s="5">
        <v>0</v>
      </c>
      <c r="H2157" s="4" t="s">
        <v>11</v>
      </c>
      <c r="I2157" s="5">
        <v>0</v>
      </c>
      <c r="J2157" s="4">
        <v>45916.294409722221</v>
      </c>
    </row>
    <row r="2158" spans="1:10" x14ac:dyDescent="0.2">
      <c r="A2158" s="2" t="s">
        <v>10</v>
      </c>
      <c r="B2158" s="3" t="str">
        <f t="shared" si="43"/>
        <v>France - HCP Survey Email - June 2025</v>
      </c>
      <c r="C2158" s="3" t="str">
        <f>HYPERLINK("https://otsuka-europe-crm.veevavault.com/ui/#object/sent_email__v/VBLZ025E82GNOQG", "SE-000273823")</f>
        <v>SE-000273823</v>
      </c>
      <c r="D2158" s="4" t="s">
        <v>11</v>
      </c>
      <c r="E2158" s="5">
        <v>0</v>
      </c>
      <c r="F2158" s="5">
        <v>0</v>
      </c>
      <c r="G2158" s="5">
        <v>0</v>
      </c>
      <c r="H2158" s="4" t="s">
        <v>11</v>
      </c>
      <c r="I2158" s="5">
        <v>0</v>
      </c>
      <c r="J2158" s="4">
        <v>45916.294236111113</v>
      </c>
    </row>
    <row r="2159" spans="1:10" x14ac:dyDescent="0.2">
      <c r="A2159" s="2" t="s">
        <v>10</v>
      </c>
      <c r="B2159" s="3" t="str">
        <f t="shared" si="43"/>
        <v>France - HCP Survey Email - June 2025</v>
      </c>
      <c r="C2159" s="3" t="str">
        <f>HYPERLINK("https://otsuka-europe-crm.veevavault.com/ui/#object/sent_email__v/VBLZ025E82GNOQH", "SE-000273824")</f>
        <v>SE-000273824</v>
      </c>
      <c r="D2159" s="4" t="s">
        <v>11</v>
      </c>
      <c r="E2159" s="5">
        <v>0</v>
      </c>
      <c r="F2159" s="5">
        <v>0</v>
      </c>
      <c r="G2159" s="5">
        <v>0</v>
      </c>
      <c r="H2159" s="4" t="s">
        <v>11</v>
      </c>
      <c r="I2159" s="5">
        <v>0</v>
      </c>
      <c r="J2159" s="4">
        <v>45916.294861111113</v>
      </c>
    </row>
    <row r="2160" spans="1:10" x14ac:dyDescent="0.2">
      <c r="A2160" s="2" t="s">
        <v>10</v>
      </c>
      <c r="B2160" s="3" t="str">
        <f t="shared" si="43"/>
        <v>France - HCP Survey Email - June 2025</v>
      </c>
      <c r="C2160" s="3" t="str">
        <f>HYPERLINK("https://otsuka-europe-crm.veevavault.com/ui/#object/sent_email__v/VBLZ025E82GNOQI", "SE-000273825")</f>
        <v>SE-000273825</v>
      </c>
      <c r="D2160" s="4" t="s">
        <v>11</v>
      </c>
      <c r="E2160" s="5">
        <v>0</v>
      </c>
      <c r="F2160" s="5">
        <v>0</v>
      </c>
      <c r="G2160" s="5">
        <v>0</v>
      </c>
      <c r="H2160" s="4" t="s">
        <v>11</v>
      </c>
      <c r="I2160" s="5">
        <v>0</v>
      </c>
      <c r="J2160" s="4">
        <v>45916.294537037036</v>
      </c>
    </row>
    <row r="2161" spans="1:10" x14ac:dyDescent="0.2">
      <c r="A2161" s="2" t="s">
        <v>10</v>
      </c>
      <c r="B2161" s="3" t="str">
        <f t="shared" si="43"/>
        <v>France - HCP Survey Email - June 2025</v>
      </c>
      <c r="C2161" s="3" t="str">
        <f>HYPERLINK("https://otsuka-europe-crm.veevavault.com/ui/#object/sent_email__v/VBLZ025E82GNOQJ", "SE-000273826")</f>
        <v>SE-000273826</v>
      </c>
      <c r="D2161" s="4">
        <v>45921.534351851849</v>
      </c>
      <c r="E2161" s="5">
        <v>1</v>
      </c>
      <c r="F2161" s="5">
        <v>1</v>
      </c>
      <c r="G2161" s="5">
        <v>0</v>
      </c>
      <c r="H2161" s="4" t="s">
        <v>11</v>
      </c>
      <c r="I2161" s="5">
        <v>0</v>
      </c>
      <c r="J2161" s="4">
        <v>45916.294317129628</v>
      </c>
    </row>
    <row r="2162" spans="1:10" x14ac:dyDescent="0.2">
      <c r="A2162" s="2" t="s">
        <v>10</v>
      </c>
      <c r="B2162" s="3" t="str">
        <f t="shared" si="43"/>
        <v>France - HCP Survey Email - June 2025</v>
      </c>
      <c r="C2162" s="3" t="str">
        <f>HYPERLINK("https://otsuka-europe-crm.veevavault.com/ui/#object/sent_email__v/VBLZ025E82GNOQK", "SE-000273827")</f>
        <v>SE-000273827</v>
      </c>
      <c r="D2162" s="4" t="s">
        <v>11</v>
      </c>
      <c r="E2162" s="5">
        <v>0</v>
      </c>
      <c r="F2162" s="5">
        <v>0</v>
      </c>
      <c r="G2162" s="5">
        <v>0</v>
      </c>
      <c r="H2162" s="4" t="s">
        <v>11</v>
      </c>
      <c r="I2162" s="5">
        <v>0</v>
      </c>
      <c r="J2162" s="4">
        <v>45916.294965277775</v>
      </c>
    </row>
    <row r="2163" spans="1:10" x14ac:dyDescent="0.2">
      <c r="A2163" s="2" t="s">
        <v>10</v>
      </c>
      <c r="B2163" s="3" t="str">
        <f t="shared" si="43"/>
        <v>France - HCP Survey Email - June 2025</v>
      </c>
      <c r="C2163" s="3" t="str">
        <f>HYPERLINK("https://otsuka-europe-crm.veevavault.com/ui/#object/sent_email__v/VBLZ025E82GNOQL", "SE-000273828")</f>
        <v>SE-000273828</v>
      </c>
      <c r="D2163" s="4" t="s">
        <v>11</v>
      </c>
      <c r="E2163" s="5">
        <v>0</v>
      </c>
      <c r="F2163" s="5">
        <v>0</v>
      </c>
      <c r="G2163" s="5">
        <v>0</v>
      </c>
      <c r="H2163" s="4" t="s">
        <v>11</v>
      </c>
      <c r="I2163" s="5">
        <v>0</v>
      </c>
      <c r="J2163" s="4">
        <v>45916.294733796298</v>
      </c>
    </row>
    <row r="2164" spans="1:10" x14ac:dyDescent="0.2">
      <c r="A2164" s="2" t="s">
        <v>10</v>
      </c>
      <c r="B2164" s="3" t="str">
        <f t="shared" si="43"/>
        <v>France - HCP Survey Email - June 2025</v>
      </c>
      <c r="C2164" s="3" t="str">
        <f>HYPERLINK("https://otsuka-europe-crm.veevavault.com/ui/#object/sent_email__v/VBLZ025E82GNOQM", "SE-000273829")</f>
        <v>SE-000273829</v>
      </c>
      <c r="D2164" s="4">
        <v>45916.427731481483</v>
      </c>
      <c r="E2164" s="5">
        <v>1</v>
      </c>
      <c r="F2164" s="5">
        <v>1</v>
      </c>
      <c r="G2164" s="5">
        <v>1</v>
      </c>
      <c r="H2164" s="4">
        <v>45916.427731481483</v>
      </c>
      <c r="I2164" s="5">
        <v>1</v>
      </c>
      <c r="J2164" s="4">
        <v>45916.294490740744</v>
      </c>
    </row>
    <row r="2165" spans="1:10" x14ac:dyDescent="0.2">
      <c r="A2165" s="2" t="s">
        <v>10</v>
      </c>
      <c r="B2165" s="3" t="str">
        <f t="shared" si="43"/>
        <v>France - HCP Survey Email - June 2025</v>
      </c>
      <c r="C2165" s="3" t="str">
        <f>HYPERLINK("https://otsuka-europe-crm.veevavault.com/ui/#object/sent_email__v/VBLZ025E82GNOQO", "SE-000273831")</f>
        <v>SE-000273831</v>
      </c>
      <c r="D2165" s="4">
        <v>45916.571284722224</v>
      </c>
      <c r="E2165" s="5">
        <v>1</v>
      </c>
      <c r="F2165" s="5">
        <v>1</v>
      </c>
      <c r="G2165" s="5">
        <v>0</v>
      </c>
      <c r="H2165" s="4" t="s">
        <v>11</v>
      </c>
      <c r="I2165" s="5">
        <v>0</v>
      </c>
      <c r="J2165" s="4">
        <v>45916.29483796296</v>
      </c>
    </row>
    <row r="2166" spans="1:10" x14ac:dyDescent="0.2">
      <c r="A2166" s="2" t="s">
        <v>10</v>
      </c>
      <c r="B2166" s="3" t="str">
        <f t="shared" si="43"/>
        <v>France - HCP Survey Email - June 2025</v>
      </c>
      <c r="C2166" s="3" t="str">
        <f>HYPERLINK("https://otsuka-europe-crm.veevavault.com/ui/#object/sent_email__v/VBLZ025E82GNOQP", "SE-000273832")</f>
        <v>SE-000273832</v>
      </c>
      <c r="D2166" s="4" t="s">
        <v>11</v>
      </c>
      <c r="E2166" s="5">
        <v>0</v>
      </c>
      <c r="F2166" s="5">
        <v>0</v>
      </c>
      <c r="G2166" s="5">
        <v>0</v>
      </c>
      <c r="H2166" s="4" t="s">
        <v>11</v>
      </c>
      <c r="I2166" s="5">
        <v>0</v>
      </c>
      <c r="J2166" s="4">
        <v>45916.294687499998</v>
      </c>
    </row>
    <row r="2167" spans="1:10" x14ac:dyDescent="0.2">
      <c r="A2167" s="2" t="s">
        <v>10</v>
      </c>
      <c r="B2167" s="3" t="str">
        <f t="shared" si="43"/>
        <v>France - HCP Survey Email - June 2025</v>
      </c>
      <c r="C2167" s="3" t="str">
        <f>HYPERLINK("https://otsuka-europe-crm.veevavault.com/ui/#object/sent_email__v/VBLZ025E82GNOQQ", "SE-000273833")</f>
        <v>SE-000273833</v>
      </c>
      <c r="D2167" s="4" t="s">
        <v>11</v>
      </c>
      <c r="E2167" s="5">
        <v>0</v>
      </c>
      <c r="F2167" s="5">
        <v>0</v>
      </c>
      <c r="G2167" s="5">
        <v>0</v>
      </c>
      <c r="H2167" s="4" t="s">
        <v>11</v>
      </c>
      <c r="I2167" s="5">
        <v>0</v>
      </c>
      <c r="J2167" s="4">
        <v>45916.294340277775</v>
      </c>
    </row>
    <row r="2168" spans="1:10" x14ac:dyDescent="0.2">
      <c r="A2168" s="2" t="s">
        <v>10</v>
      </c>
      <c r="B2168" s="3" t="str">
        <f t="shared" si="43"/>
        <v>France - HCP Survey Email - June 2025</v>
      </c>
      <c r="C2168" s="3" t="str">
        <f>HYPERLINK("https://otsuka-europe-crm.veevavault.com/ui/#object/sent_email__v/VBLZ025E82GNOQR", "SE-000273834")</f>
        <v>SE-000273834</v>
      </c>
      <c r="D2168" s="4">
        <v>45917.335763888892</v>
      </c>
      <c r="E2168" s="5">
        <v>1</v>
      </c>
      <c r="F2168" s="5">
        <v>1</v>
      </c>
      <c r="G2168" s="5">
        <v>0</v>
      </c>
      <c r="H2168" s="4" t="s">
        <v>11</v>
      </c>
      <c r="I2168" s="5">
        <v>0</v>
      </c>
      <c r="J2168" s="4">
        <v>45916.294247685182</v>
      </c>
    </row>
    <row r="2169" spans="1:10" x14ac:dyDescent="0.2">
      <c r="A2169" s="2" t="s">
        <v>10</v>
      </c>
      <c r="B2169" s="3" t="str">
        <f t="shared" si="43"/>
        <v>France - HCP Survey Email - June 2025</v>
      </c>
      <c r="C2169" s="3" t="str">
        <f>HYPERLINK("https://otsuka-europe-crm.veevavault.com/ui/#object/sent_email__v/VBLZ025E82GNOQS", "SE-000273835")</f>
        <v>SE-000273835</v>
      </c>
      <c r="D2169" s="4" t="s">
        <v>11</v>
      </c>
      <c r="E2169" s="5">
        <v>0</v>
      </c>
      <c r="F2169" s="5">
        <v>0</v>
      </c>
      <c r="G2169" s="5">
        <v>0</v>
      </c>
      <c r="H2169" s="4" t="s">
        <v>11</v>
      </c>
      <c r="I2169" s="5">
        <v>0</v>
      </c>
      <c r="J2169" s="4">
        <v>45916.294814814813</v>
      </c>
    </row>
    <row r="2170" spans="1:10" x14ac:dyDescent="0.2">
      <c r="A2170" s="2" t="s">
        <v>10</v>
      </c>
      <c r="B2170" s="3" t="str">
        <f t="shared" si="43"/>
        <v>France - HCP Survey Email - June 2025</v>
      </c>
      <c r="C2170" s="3" t="str">
        <f>HYPERLINK("https://otsuka-europe-crm.veevavault.com/ui/#object/sent_email__v/VBLZ025E82GNOQT", "SE-000273836")</f>
        <v>SE-000273836</v>
      </c>
      <c r="D2170" s="4" t="s">
        <v>11</v>
      </c>
      <c r="E2170" s="5">
        <v>0</v>
      </c>
      <c r="F2170" s="5">
        <v>0</v>
      </c>
      <c r="G2170" s="5">
        <v>0</v>
      </c>
      <c r="H2170" s="4" t="s">
        <v>11</v>
      </c>
      <c r="I2170" s="5">
        <v>0</v>
      </c>
      <c r="J2170" s="4">
        <v>45916.294629629629</v>
      </c>
    </row>
    <row r="2171" spans="1:10" x14ac:dyDescent="0.2">
      <c r="A2171" s="2" t="s">
        <v>10</v>
      </c>
      <c r="B2171" s="3" t="str">
        <f t="shared" si="43"/>
        <v>France - HCP Survey Email - June 2025</v>
      </c>
      <c r="C2171" s="3" t="str">
        <f>HYPERLINK("https://otsuka-europe-crm.veevavault.com/ui/#object/sent_email__v/VBLZ025E82GNOQU", "SE-000273837")</f>
        <v>SE-000273837</v>
      </c>
      <c r="D2171" s="4" t="s">
        <v>11</v>
      </c>
      <c r="E2171" s="5">
        <v>0</v>
      </c>
      <c r="F2171" s="5">
        <v>0</v>
      </c>
      <c r="G2171" s="5">
        <v>0</v>
      </c>
      <c r="H2171" s="4" t="s">
        <v>11</v>
      </c>
      <c r="I2171" s="5">
        <v>0</v>
      </c>
      <c r="J2171" s="4">
        <v>45916.294270833336</v>
      </c>
    </row>
    <row r="2172" spans="1:10" x14ac:dyDescent="0.2">
      <c r="A2172" s="2" t="s">
        <v>10</v>
      </c>
      <c r="B2172" s="3" t="str">
        <f t="shared" si="43"/>
        <v>France - HCP Survey Email - June 2025</v>
      </c>
      <c r="C2172" s="3" t="str">
        <f>HYPERLINK("https://otsuka-europe-crm.veevavault.com/ui/#object/sent_email__v/VBLZ025E82GNOQV", "SE-000273838")</f>
        <v>SE-000273838</v>
      </c>
      <c r="D2172" s="4" t="s">
        <v>11</v>
      </c>
      <c r="E2172" s="5">
        <v>0</v>
      </c>
      <c r="F2172" s="5">
        <v>0</v>
      </c>
      <c r="G2172" s="5">
        <v>0</v>
      </c>
      <c r="H2172" s="4" t="s">
        <v>11</v>
      </c>
      <c r="I2172" s="5">
        <v>0</v>
      </c>
      <c r="J2172" s="4">
        <v>45916.295081018521</v>
      </c>
    </row>
    <row r="2173" spans="1:10" x14ac:dyDescent="0.2">
      <c r="A2173" s="2" t="s">
        <v>10</v>
      </c>
      <c r="B2173" s="3" t="str">
        <f t="shared" si="43"/>
        <v>France - HCP Survey Email - June 2025</v>
      </c>
      <c r="C2173" s="3" t="str">
        <f>HYPERLINK("https://otsuka-europe-crm.veevavault.com/ui/#object/sent_email__v/VBLZ025E82GNOQW", "SE-000273839")</f>
        <v>SE-000273839</v>
      </c>
      <c r="D2173" s="4" t="s">
        <v>11</v>
      </c>
      <c r="E2173" s="5">
        <v>0</v>
      </c>
      <c r="F2173" s="5">
        <v>0</v>
      </c>
      <c r="G2173" s="5">
        <v>0</v>
      </c>
      <c r="H2173" s="4" t="s">
        <v>11</v>
      </c>
      <c r="I2173" s="5">
        <v>0</v>
      </c>
      <c r="J2173" s="4">
        <v>45916.294722222221</v>
      </c>
    </row>
    <row r="2174" spans="1:10" x14ac:dyDescent="0.2">
      <c r="A2174" s="2" t="s">
        <v>10</v>
      </c>
      <c r="B2174" s="3" t="str">
        <f t="shared" si="43"/>
        <v>France - HCP Survey Email - June 2025</v>
      </c>
      <c r="C2174" s="3" t="str">
        <f>HYPERLINK("https://otsuka-europe-crm.veevavault.com/ui/#object/sent_email__v/VBLZ025E82GNOQX", "SE-000273840")</f>
        <v>SE-000273840</v>
      </c>
      <c r="D2174" s="4" t="s">
        <v>11</v>
      </c>
      <c r="E2174" s="5">
        <v>0</v>
      </c>
      <c r="F2174" s="5">
        <v>0</v>
      </c>
      <c r="G2174" s="5">
        <v>0</v>
      </c>
      <c r="H2174" s="4" t="s">
        <v>11</v>
      </c>
      <c r="I2174" s="5">
        <v>0</v>
      </c>
      <c r="J2174" s="4">
        <v>45916.294490740744</v>
      </c>
    </row>
    <row r="2175" spans="1:10" x14ac:dyDescent="0.2">
      <c r="A2175" s="2" t="s">
        <v>10</v>
      </c>
      <c r="B2175" s="3" t="str">
        <f t="shared" si="43"/>
        <v>France - HCP Survey Email - June 2025</v>
      </c>
      <c r="C2175" s="3" t="str">
        <f>HYPERLINK("https://otsuka-europe-crm.veevavault.com/ui/#object/sent_email__v/VBLZ025E82GNOQY", "SE-000273841")</f>
        <v>SE-000273841</v>
      </c>
      <c r="D2175" s="4" t="s">
        <v>11</v>
      </c>
      <c r="E2175" s="5">
        <v>0</v>
      </c>
      <c r="F2175" s="5">
        <v>0</v>
      </c>
      <c r="G2175" s="5">
        <v>0</v>
      </c>
      <c r="H2175" s="4" t="s">
        <v>11</v>
      </c>
      <c r="I2175" s="5">
        <v>0</v>
      </c>
      <c r="J2175" s="4">
        <v>45916.294247685182</v>
      </c>
    </row>
    <row r="2176" spans="1:10" x14ac:dyDescent="0.2">
      <c r="A2176" s="2" t="s">
        <v>10</v>
      </c>
      <c r="B2176" s="3" t="str">
        <f t="shared" si="43"/>
        <v>France - HCP Survey Email - June 2025</v>
      </c>
      <c r="C2176" s="3" t="str">
        <f>HYPERLINK("https://otsuka-europe-crm.veevavault.com/ui/#object/sent_email__v/VBLZ025E82GNOQZ", "SE-000273842")</f>
        <v>SE-000273842</v>
      </c>
      <c r="D2176" s="4" t="s">
        <v>11</v>
      </c>
      <c r="E2176" s="5">
        <v>0</v>
      </c>
      <c r="F2176" s="5">
        <v>0</v>
      </c>
      <c r="G2176" s="5">
        <v>0</v>
      </c>
      <c r="H2176" s="4" t="s">
        <v>11</v>
      </c>
      <c r="I2176" s="5">
        <v>0</v>
      </c>
      <c r="J2176" s="4">
        <v>45916.29482638889</v>
      </c>
    </row>
    <row r="2177" spans="1:10" x14ac:dyDescent="0.2">
      <c r="A2177" s="2" t="s">
        <v>10</v>
      </c>
      <c r="B2177" s="3" t="str">
        <f t="shared" ref="B2177:B2240" si="44">HYPERLINK("https://otsuka-europe-crm.veevavault.com/ui/#object/approved_document__v/V5OZ025E82TMV97", "France - HCP Survey Email - June 2025")</f>
        <v>France - HCP Survey Email - June 2025</v>
      </c>
      <c r="C2177" s="3" t="str">
        <f>HYPERLINK("https://otsuka-europe-crm.veevavault.com/ui/#object/sent_email__v/VBLZ025E82GNOR0", "SE-000273843")</f>
        <v>SE-000273843</v>
      </c>
      <c r="D2177" s="4" t="s">
        <v>11</v>
      </c>
      <c r="E2177" s="5">
        <v>0</v>
      </c>
      <c r="F2177" s="5">
        <v>0</v>
      </c>
      <c r="G2177" s="5">
        <v>0</v>
      </c>
      <c r="H2177" s="4" t="s">
        <v>11</v>
      </c>
      <c r="I2177" s="5">
        <v>0</v>
      </c>
      <c r="J2177" s="4">
        <v>45916.294652777775</v>
      </c>
    </row>
    <row r="2178" spans="1:10" x14ac:dyDescent="0.2">
      <c r="A2178" s="2" t="s">
        <v>10</v>
      </c>
      <c r="B2178" s="3" t="str">
        <f t="shared" si="44"/>
        <v>France - HCP Survey Email - June 2025</v>
      </c>
      <c r="C2178" s="3" t="str">
        <f>HYPERLINK("https://otsuka-europe-crm.veevavault.com/ui/#object/sent_email__v/VBLZ025E82GNOR1", "SE-000273844")</f>
        <v>SE-000273844</v>
      </c>
      <c r="D2178" s="4">
        <v>45921.959953703707</v>
      </c>
      <c r="E2178" s="5">
        <v>1</v>
      </c>
      <c r="F2178" s="5">
        <v>1</v>
      </c>
      <c r="G2178" s="5">
        <v>0</v>
      </c>
      <c r="H2178" s="4" t="s">
        <v>11</v>
      </c>
      <c r="I2178" s="5">
        <v>0</v>
      </c>
      <c r="J2178" s="4">
        <v>45916.294444444444</v>
      </c>
    </row>
    <row r="2179" spans="1:10" x14ac:dyDescent="0.2">
      <c r="A2179" s="2" t="s">
        <v>10</v>
      </c>
      <c r="B2179" s="3" t="str">
        <f t="shared" si="44"/>
        <v>France - HCP Survey Email - June 2025</v>
      </c>
      <c r="C2179" s="3" t="str">
        <f>HYPERLINK("https://otsuka-europe-crm.veevavault.com/ui/#object/sent_email__v/VBLZ025E82GNOR2", "SE-000273845")</f>
        <v>SE-000273845</v>
      </c>
      <c r="D2179" s="4" t="s">
        <v>11</v>
      </c>
      <c r="E2179" s="5">
        <v>0</v>
      </c>
      <c r="F2179" s="5">
        <v>0</v>
      </c>
      <c r="G2179" s="5">
        <v>0</v>
      </c>
      <c r="H2179" s="4" t="s">
        <v>11</v>
      </c>
      <c r="I2179" s="5">
        <v>0</v>
      </c>
      <c r="J2179" s="4">
        <v>45916.294247685182</v>
      </c>
    </row>
    <row r="2180" spans="1:10" x14ac:dyDescent="0.2">
      <c r="A2180" s="2" t="s">
        <v>10</v>
      </c>
      <c r="B2180" s="3" t="str">
        <f t="shared" si="44"/>
        <v>France - HCP Survey Email - June 2025</v>
      </c>
      <c r="C2180" s="3" t="str">
        <f>HYPERLINK("https://otsuka-europe-crm.veevavault.com/ui/#object/sent_email__v/VBLZ025E82GNOR3", "SE-000273846")</f>
        <v>SE-000273846</v>
      </c>
      <c r="D2180" s="4" t="s">
        <v>11</v>
      </c>
      <c r="E2180" s="5">
        <v>0</v>
      </c>
      <c r="F2180" s="5">
        <v>0</v>
      </c>
      <c r="G2180" s="5">
        <v>0</v>
      </c>
      <c r="H2180" s="4" t="s">
        <v>11</v>
      </c>
      <c r="I2180" s="5">
        <v>0</v>
      </c>
      <c r="J2180" s="4">
        <v>45916.29488425926</v>
      </c>
    </row>
    <row r="2181" spans="1:10" x14ac:dyDescent="0.2">
      <c r="A2181" s="2" t="s">
        <v>10</v>
      </c>
      <c r="B2181" s="3" t="str">
        <f t="shared" si="44"/>
        <v>France - HCP Survey Email - June 2025</v>
      </c>
      <c r="C2181" s="3" t="str">
        <f>HYPERLINK("https://otsuka-europe-crm.veevavault.com/ui/#object/sent_email__v/VBLZ025E82GNOR4", "SE-000273847")</f>
        <v>SE-000273847</v>
      </c>
      <c r="D2181" s="4">
        <v>45916.342719907407</v>
      </c>
      <c r="E2181" s="5">
        <v>1</v>
      </c>
      <c r="F2181" s="5">
        <v>1</v>
      </c>
      <c r="G2181" s="5">
        <v>0</v>
      </c>
      <c r="H2181" s="4" t="s">
        <v>11</v>
      </c>
      <c r="I2181" s="5">
        <v>0</v>
      </c>
      <c r="J2181" s="4">
        <v>45916.294641203705</v>
      </c>
    </row>
    <row r="2182" spans="1:10" x14ac:dyDescent="0.2">
      <c r="A2182" s="2" t="s">
        <v>10</v>
      </c>
      <c r="B2182" s="3" t="str">
        <f t="shared" si="44"/>
        <v>France - HCP Survey Email - June 2025</v>
      </c>
      <c r="C2182" s="3" t="str">
        <f>HYPERLINK("https://otsuka-europe-crm.veevavault.com/ui/#object/sent_email__v/VBLZ025E82GNOR5", "SE-000273848")</f>
        <v>SE-000273848</v>
      </c>
      <c r="D2182" s="4" t="s">
        <v>11</v>
      </c>
      <c r="E2182" s="5">
        <v>0</v>
      </c>
      <c r="F2182" s="5">
        <v>0</v>
      </c>
      <c r="G2182" s="5">
        <v>0</v>
      </c>
      <c r="H2182" s="4" t="s">
        <v>11</v>
      </c>
      <c r="I2182" s="5">
        <v>0</v>
      </c>
      <c r="J2182" s="4">
        <v>45916.29446759259</v>
      </c>
    </row>
    <row r="2183" spans="1:10" x14ac:dyDescent="0.2">
      <c r="A2183" s="2" t="s">
        <v>10</v>
      </c>
      <c r="B2183" s="3" t="str">
        <f t="shared" si="44"/>
        <v>France - HCP Survey Email - June 2025</v>
      </c>
      <c r="C2183" s="3" t="str">
        <f>HYPERLINK("https://otsuka-europe-crm.veevavault.com/ui/#object/sent_email__v/VBLZ025E82GNOR6", "SE-000273849")</f>
        <v>SE-000273849</v>
      </c>
      <c r="D2183" s="4" t="s">
        <v>11</v>
      </c>
      <c r="E2183" s="5">
        <v>0</v>
      </c>
      <c r="F2183" s="5">
        <v>0</v>
      </c>
      <c r="G2183" s="5">
        <v>0</v>
      </c>
      <c r="H2183" s="4" t="s">
        <v>11</v>
      </c>
      <c r="I2183" s="5">
        <v>0</v>
      </c>
      <c r="J2183" s="4">
        <v>45916.294259259259</v>
      </c>
    </row>
    <row r="2184" spans="1:10" x14ac:dyDescent="0.2">
      <c r="A2184" s="2" t="s">
        <v>10</v>
      </c>
      <c r="B2184" s="3" t="str">
        <f t="shared" si="44"/>
        <v>France - HCP Survey Email - June 2025</v>
      </c>
      <c r="C2184" s="3" t="str">
        <f>HYPERLINK("https://otsuka-europe-crm.veevavault.com/ui/#object/sent_email__v/VBLZ025E82GNOR7", "SE-000273850")</f>
        <v>SE-000273850</v>
      </c>
      <c r="D2184" s="4" t="s">
        <v>11</v>
      </c>
      <c r="E2184" s="5">
        <v>0</v>
      </c>
      <c r="F2184" s="5">
        <v>0</v>
      </c>
      <c r="G2184" s="5">
        <v>0</v>
      </c>
      <c r="H2184" s="4" t="s">
        <v>11</v>
      </c>
      <c r="I2184" s="5">
        <v>0</v>
      </c>
      <c r="J2184" s="4">
        <v>45916.29483796296</v>
      </c>
    </row>
    <row r="2185" spans="1:10" x14ac:dyDescent="0.2">
      <c r="A2185" s="2" t="s">
        <v>10</v>
      </c>
      <c r="B2185" s="3" t="str">
        <f t="shared" si="44"/>
        <v>France - HCP Survey Email - June 2025</v>
      </c>
      <c r="C2185" s="3" t="str">
        <f>HYPERLINK("https://otsuka-europe-crm.veevavault.com/ui/#object/sent_email__v/VBLZ025E82GNOR8", "SE-000273851")</f>
        <v>SE-000273851</v>
      </c>
      <c r="D2185" s="4" t="s">
        <v>11</v>
      </c>
      <c r="E2185" s="5">
        <v>0</v>
      </c>
      <c r="F2185" s="5">
        <v>0</v>
      </c>
      <c r="G2185" s="5">
        <v>0</v>
      </c>
      <c r="H2185" s="4" t="s">
        <v>11</v>
      </c>
      <c r="I2185" s="5">
        <v>0</v>
      </c>
      <c r="J2185" s="4">
        <v>45916.294479166667</v>
      </c>
    </row>
    <row r="2186" spans="1:10" x14ac:dyDescent="0.2">
      <c r="A2186" s="2" t="s">
        <v>10</v>
      </c>
      <c r="B2186" s="3" t="str">
        <f t="shared" si="44"/>
        <v>France - HCP Survey Email - June 2025</v>
      </c>
      <c r="C2186" s="3" t="str">
        <f>HYPERLINK("https://otsuka-europe-crm.veevavault.com/ui/#object/sent_email__v/VBLZ025E82GNOR9", "SE-000273852")</f>
        <v>SE-000273852</v>
      </c>
      <c r="D2186" s="4">
        <v>45916.492997685185</v>
      </c>
      <c r="E2186" s="5">
        <v>1</v>
      </c>
      <c r="F2186" s="5">
        <v>2</v>
      </c>
      <c r="G2186" s="5">
        <v>0</v>
      </c>
      <c r="H2186" s="4" t="s">
        <v>11</v>
      </c>
      <c r="I2186" s="5">
        <v>0</v>
      </c>
      <c r="J2186" s="4">
        <v>45916.294305555559</v>
      </c>
    </row>
    <row r="2187" spans="1:10" x14ac:dyDescent="0.2">
      <c r="A2187" s="2" t="s">
        <v>10</v>
      </c>
      <c r="B2187" s="3" t="str">
        <f t="shared" si="44"/>
        <v>France - HCP Survey Email - June 2025</v>
      </c>
      <c r="C2187" s="3" t="str">
        <f>HYPERLINK("https://otsuka-europe-crm.veevavault.com/ui/#object/sent_email__v/VBLZ025E82GNORA", "SE-000273853")</f>
        <v>SE-000273853</v>
      </c>
      <c r="D2187" s="4" t="s">
        <v>11</v>
      </c>
      <c r="E2187" s="5">
        <v>0</v>
      </c>
      <c r="F2187" s="5">
        <v>0</v>
      </c>
      <c r="G2187" s="5">
        <v>0</v>
      </c>
      <c r="H2187" s="4" t="s">
        <v>11</v>
      </c>
      <c r="I2187" s="5">
        <v>0</v>
      </c>
      <c r="J2187" s="4">
        <v>45916.295011574075</v>
      </c>
    </row>
    <row r="2188" spans="1:10" x14ac:dyDescent="0.2">
      <c r="A2188" s="2" t="s">
        <v>10</v>
      </c>
      <c r="B2188" s="3" t="str">
        <f t="shared" si="44"/>
        <v>France - HCP Survey Email - June 2025</v>
      </c>
      <c r="C2188" s="3" t="str">
        <f>HYPERLINK("https://otsuka-europe-crm.veevavault.com/ui/#object/sent_email__v/VBLZ025E82GNORB", "SE-000273854")</f>
        <v>SE-000273854</v>
      </c>
      <c r="D2188" s="4" t="s">
        <v>11</v>
      </c>
      <c r="E2188" s="5">
        <v>0</v>
      </c>
      <c r="F2188" s="5">
        <v>0</v>
      </c>
      <c r="G2188" s="5">
        <v>0</v>
      </c>
      <c r="H2188" s="4" t="s">
        <v>11</v>
      </c>
      <c r="I2188" s="5">
        <v>0</v>
      </c>
      <c r="J2188" s="4">
        <v>45916.294745370367</v>
      </c>
    </row>
    <row r="2189" spans="1:10" x14ac:dyDescent="0.2">
      <c r="A2189" s="2" t="s">
        <v>10</v>
      </c>
      <c r="B2189" s="3" t="str">
        <f t="shared" si="44"/>
        <v>France - HCP Survey Email - June 2025</v>
      </c>
      <c r="C2189" s="3" t="str">
        <f>HYPERLINK("https://otsuka-europe-crm.veevavault.com/ui/#object/sent_email__v/VBLZ025E82GNORC", "SE-000273855")</f>
        <v>SE-000273855</v>
      </c>
      <c r="D2189" s="4" t="s">
        <v>11</v>
      </c>
      <c r="E2189" s="5">
        <v>0</v>
      </c>
      <c r="F2189" s="5">
        <v>0</v>
      </c>
      <c r="G2189" s="5">
        <v>0</v>
      </c>
      <c r="H2189" s="4" t="s">
        <v>11</v>
      </c>
      <c r="I2189" s="5">
        <v>0</v>
      </c>
      <c r="J2189" s="4">
        <v>45916.294502314813</v>
      </c>
    </row>
    <row r="2190" spans="1:10" x14ac:dyDescent="0.2">
      <c r="A2190" s="2" t="s">
        <v>10</v>
      </c>
      <c r="B2190" s="3" t="str">
        <f t="shared" si="44"/>
        <v>France - HCP Survey Email - June 2025</v>
      </c>
      <c r="C2190" s="3" t="str">
        <f>HYPERLINK("https://otsuka-europe-crm.veevavault.com/ui/#object/sent_email__v/VBLZ025E82GNORD", "SE-000273856")</f>
        <v>SE-000273856</v>
      </c>
      <c r="D2190" s="4" t="s">
        <v>11</v>
      </c>
      <c r="E2190" s="5">
        <v>0</v>
      </c>
      <c r="F2190" s="5">
        <v>0</v>
      </c>
      <c r="G2190" s="5">
        <v>0</v>
      </c>
      <c r="H2190" s="4" t="s">
        <v>11</v>
      </c>
      <c r="I2190" s="5">
        <v>0</v>
      </c>
      <c r="J2190" s="4">
        <v>45916.294247685182</v>
      </c>
    </row>
    <row r="2191" spans="1:10" x14ac:dyDescent="0.2">
      <c r="A2191" s="2" t="s">
        <v>10</v>
      </c>
      <c r="B2191" s="3" t="str">
        <f t="shared" si="44"/>
        <v>France - HCP Survey Email - June 2025</v>
      </c>
      <c r="C2191" s="3" t="str">
        <f>HYPERLINK("https://otsuka-europe-crm.veevavault.com/ui/#object/sent_email__v/VBLZ025E82GNORE", "SE-000273857")</f>
        <v>SE-000273857</v>
      </c>
      <c r="D2191" s="4" t="s">
        <v>11</v>
      </c>
      <c r="E2191" s="5">
        <v>0</v>
      </c>
      <c r="F2191" s="5">
        <v>0</v>
      </c>
      <c r="G2191" s="5">
        <v>0</v>
      </c>
      <c r="H2191" s="4" t="s">
        <v>11</v>
      </c>
      <c r="I2191" s="5">
        <v>0</v>
      </c>
      <c r="J2191" s="4">
        <v>45916.295046296298</v>
      </c>
    </row>
    <row r="2192" spans="1:10" x14ac:dyDescent="0.2">
      <c r="A2192" s="2" t="s">
        <v>10</v>
      </c>
      <c r="B2192" s="3" t="str">
        <f t="shared" si="44"/>
        <v>France - HCP Survey Email - June 2025</v>
      </c>
      <c r="C2192" s="3" t="str">
        <f>HYPERLINK("https://otsuka-europe-crm.veevavault.com/ui/#object/sent_email__v/VBLZ025E82GNORF", "SE-000273858")</f>
        <v>SE-000273858</v>
      </c>
      <c r="D2192" s="4" t="s">
        <v>11</v>
      </c>
      <c r="E2192" s="5">
        <v>0</v>
      </c>
      <c r="F2192" s="5">
        <v>0</v>
      </c>
      <c r="G2192" s="5">
        <v>0</v>
      </c>
      <c r="H2192" s="4" t="s">
        <v>11</v>
      </c>
      <c r="I2192" s="5">
        <v>0</v>
      </c>
      <c r="J2192" s="4">
        <v>45916.294664351852</v>
      </c>
    </row>
    <row r="2193" spans="1:10" x14ac:dyDescent="0.2">
      <c r="A2193" s="2" t="s">
        <v>10</v>
      </c>
      <c r="B2193" s="3" t="str">
        <f t="shared" si="44"/>
        <v>France - HCP Survey Email - June 2025</v>
      </c>
      <c r="C2193" s="3" t="str">
        <f>HYPERLINK("https://otsuka-europe-crm.veevavault.com/ui/#object/sent_email__v/VBLZ025E82GNORH", "SE-000273860")</f>
        <v>SE-000273860</v>
      </c>
      <c r="D2193" s="4" t="s">
        <v>11</v>
      </c>
      <c r="E2193" s="5">
        <v>0</v>
      </c>
      <c r="F2193" s="5">
        <v>0</v>
      </c>
      <c r="G2193" s="5">
        <v>0</v>
      </c>
      <c r="H2193" s="4" t="s">
        <v>11</v>
      </c>
      <c r="I2193" s="5">
        <v>0</v>
      </c>
      <c r="J2193" s="4">
        <v>45916.294189814813</v>
      </c>
    </row>
    <row r="2194" spans="1:10" x14ac:dyDescent="0.2">
      <c r="A2194" s="2" t="s">
        <v>10</v>
      </c>
      <c r="B2194" s="3" t="str">
        <f t="shared" si="44"/>
        <v>France - HCP Survey Email - June 2025</v>
      </c>
      <c r="C2194" s="3" t="str">
        <f>HYPERLINK("https://otsuka-europe-crm.veevavault.com/ui/#object/sent_email__v/VBLZ025E82GNORI", "SE-000273861")</f>
        <v>SE-000273861</v>
      </c>
      <c r="D2194" s="4" t="s">
        <v>11</v>
      </c>
      <c r="E2194" s="5">
        <v>0</v>
      </c>
      <c r="F2194" s="5">
        <v>0</v>
      </c>
      <c r="G2194" s="5">
        <v>0</v>
      </c>
      <c r="H2194" s="4" t="s">
        <v>11</v>
      </c>
      <c r="I2194" s="5">
        <v>0</v>
      </c>
      <c r="J2194" s="4">
        <v>45916.294803240744</v>
      </c>
    </row>
    <row r="2195" spans="1:10" x14ac:dyDescent="0.2">
      <c r="A2195" s="2" t="s">
        <v>10</v>
      </c>
      <c r="B2195" s="3" t="str">
        <f t="shared" si="44"/>
        <v>France - HCP Survey Email - June 2025</v>
      </c>
      <c r="C2195" s="3" t="str">
        <f>HYPERLINK("https://otsuka-europe-crm.veevavault.com/ui/#object/sent_email__v/VBLZ025E82GNORJ", "SE-000273862")</f>
        <v>SE-000273862</v>
      </c>
      <c r="D2195" s="4" t="s">
        <v>11</v>
      </c>
      <c r="E2195" s="5">
        <v>0</v>
      </c>
      <c r="F2195" s="5">
        <v>0</v>
      </c>
      <c r="G2195" s="5">
        <v>0</v>
      </c>
      <c r="H2195" s="4" t="s">
        <v>11</v>
      </c>
      <c r="I2195" s="5">
        <v>0</v>
      </c>
      <c r="J2195" s="4">
        <v>45916.294594907406</v>
      </c>
    </row>
    <row r="2196" spans="1:10" x14ac:dyDescent="0.2">
      <c r="A2196" s="2" t="s">
        <v>10</v>
      </c>
      <c r="B2196" s="3" t="str">
        <f t="shared" si="44"/>
        <v>France - HCP Survey Email - June 2025</v>
      </c>
      <c r="C2196" s="3" t="str">
        <f>HYPERLINK("https://otsuka-europe-crm.veevavault.com/ui/#object/sent_email__v/VBLZ025E82GNORK", "SE-000273863")</f>
        <v>SE-000273863</v>
      </c>
      <c r="D2196" s="4">
        <v>45916.410416666666</v>
      </c>
      <c r="E2196" s="5">
        <v>1</v>
      </c>
      <c r="F2196" s="5">
        <v>2</v>
      </c>
      <c r="G2196" s="5">
        <v>1</v>
      </c>
      <c r="H2196" s="4">
        <v>45916.410914351851</v>
      </c>
      <c r="I2196" s="5">
        <v>1</v>
      </c>
      <c r="J2196" s="4">
        <v>45916.294305555559</v>
      </c>
    </row>
    <row r="2197" spans="1:10" x14ac:dyDescent="0.2">
      <c r="A2197" s="2" t="s">
        <v>10</v>
      </c>
      <c r="B2197" s="3" t="str">
        <f t="shared" si="44"/>
        <v>France - HCP Survey Email - June 2025</v>
      </c>
      <c r="C2197" s="3" t="str">
        <f>HYPERLINK("https://otsuka-europe-crm.veevavault.com/ui/#object/sent_email__v/VBLZ025E82GNORL", "SE-000273864")</f>
        <v>SE-000273864</v>
      </c>
      <c r="D2197" s="4" t="s">
        <v>11</v>
      </c>
      <c r="E2197" s="5">
        <v>0</v>
      </c>
      <c r="F2197" s="5">
        <v>0</v>
      </c>
      <c r="G2197" s="5">
        <v>0</v>
      </c>
      <c r="H2197" s="4" t="s">
        <v>11</v>
      </c>
      <c r="I2197" s="5">
        <v>0</v>
      </c>
      <c r="J2197" s="4">
        <v>45916.295057870368</v>
      </c>
    </row>
    <row r="2198" spans="1:10" x14ac:dyDescent="0.2">
      <c r="A2198" s="2" t="s">
        <v>10</v>
      </c>
      <c r="B2198" s="3" t="str">
        <f t="shared" si="44"/>
        <v>France - HCP Survey Email - June 2025</v>
      </c>
      <c r="C2198" s="3" t="str">
        <f>HYPERLINK("https://otsuka-europe-crm.veevavault.com/ui/#object/sent_email__v/VBLZ025E82GNORM", "SE-000273865")</f>
        <v>SE-000273865</v>
      </c>
      <c r="D2198" s="4">
        <v>45916.91741898148</v>
      </c>
      <c r="E2198" s="5">
        <v>1</v>
      </c>
      <c r="F2198" s="5">
        <v>1</v>
      </c>
      <c r="G2198" s="5">
        <v>0</v>
      </c>
      <c r="H2198" s="4" t="s">
        <v>11</v>
      </c>
      <c r="I2198" s="5">
        <v>0</v>
      </c>
      <c r="J2198" s="4">
        <v>45916.294733796298</v>
      </c>
    </row>
    <row r="2199" spans="1:10" x14ac:dyDescent="0.2">
      <c r="A2199" s="2" t="s">
        <v>10</v>
      </c>
      <c r="B2199" s="3" t="str">
        <f t="shared" si="44"/>
        <v>France - HCP Survey Email - June 2025</v>
      </c>
      <c r="C2199" s="3" t="str">
        <f>HYPERLINK("https://otsuka-europe-crm.veevavault.com/ui/#object/sent_email__v/VBLZ025E82GNORN", "SE-000273866")</f>
        <v>SE-000273866</v>
      </c>
      <c r="D2199" s="4" t="s">
        <v>11</v>
      </c>
      <c r="E2199" s="5">
        <v>0</v>
      </c>
      <c r="F2199" s="5">
        <v>0</v>
      </c>
      <c r="G2199" s="5">
        <v>0</v>
      </c>
      <c r="H2199" s="4" t="s">
        <v>11</v>
      </c>
      <c r="I2199" s="5">
        <v>0</v>
      </c>
      <c r="J2199" s="4">
        <v>45916.294421296298</v>
      </c>
    </row>
    <row r="2200" spans="1:10" x14ac:dyDescent="0.2">
      <c r="A2200" s="2" t="s">
        <v>10</v>
      </c>
      <c r="B2200" s="3" t="str">
        <f t="shared" si="44"/>
        <v>France - HCP Survey Email - June 2025</v>
      </c>
      <c r="C2200" s="3" t="str">
        <f>HYPERLINK("https://otsuka-europe-crm.veevavault.com/ui/#object/sent_email__v/VBLZ025E82GNORO", "SE-000273867")</f>
        <v>SE-000273867</v>
      </c>
      <c r="D2200" s="4" t="s">
        <v>11</v>
      </c>
      <c r="E2200" s="5">
        <v>0</v>
      </c>
      <c r="F2200" s="5">
        <v>0</v>
      </c>
      <c r="G2200" s="5">
        <v>0</v>
      </c>
      <c r="H2200" s="4" t="s">
        <v>11</v>
      </c>
      <c r="I2200" s="5">
        <v>0</v>
      </c>
      <c r="J2200" s="4">
        <v>45916.294305555559</v>
      </c>
    </row>
    <row r="2201" spans="1:10" x14ac:dyDescent="0.2">
      <c r="A2201" s="2" t="s">
        <v>10</v>
      </c>
      <c r="B2201" s="3" t="str">
        <f t="shared" si="44"/>
        <v>France - HCP Survey Email - June 2025</v>
      </c>
      <c r="C2201" s="3" t="str">
        <f>HYPERLINK("https://otsuka-europe-crm.veevavault.com/ui/#object/sent_email__v/VBLZ025E82GNORP", "SE-000273868")</f>
        <v>SE-000273868</v>
      </c>
      <c r="D2201" s="4" t="s">
        <v>11</v>
      </c>
      <c r="E2201" s="5">
        <v>0</v>
      </c>
      <c r="F2201" s="5">
        <v>0</v>
      </c>
      <c r="G2201" s="5">
        <v>0</v>
      </c>
      <c r="H2201" s="4" t="s">
        <v>11</v>
      </c>
      <c r="I2201" s="5">
        <v>0</v>
      </c>
      <c r="J2201" s="4">
        <v>45916.294999999998</v>
      </c>
    </row>
    <row r="2202" spans="1:10" x14ac:dyDescent="0.2">
      <c r="A2202" s="2" t="s">
        <v>10</v>
      </c>
      <c r="B2202" s="3" t="str">
        <f t="shared" si="44"/>
        <v>France - HCP Survey Email - June 2025</v>
      </c>
      <c r="C2202" s="3" t="str">
        <f>HYPERLINK("https://otsuka-europe-crm.veevavault.com/ui/#object/sent_email__v/VBLZ025E82GNORQ", "SE-000273869")</f>
        <v>SE-000273869</v>
      </c>
      <c r="D2202" s="4">
        <v>45916.356770833336</v>
      </c>
      <c r="E2202" s="5">
        <v>1</v>
      </c>
      <c r="F2202" s="5">
        <v>1</v>
      </c>
      <c r="G2202" s="5">
        <v>0</v>
      </c>
      <c r="H2202" s="4" t="s">
        <v>11</v>
      </c>
      <c r="I2202" s="5">
        <v>0</v>
      </c>
      <c r="J2202" s="4">
        <v>45916.294606481482</v>
      </c>
    </row>
    <row r="2203" spans="1:10" x14ac:dyDescent="0.2">
      <c r="A2203" s="2" t="s">
        <v>10</v>
      </c>
      <c r="B2203" s="3" t="str">
        <f t="shared" si="44"/>
        <v>France - HCP Survey Email - June 2025</v>
      </c>
      <c r="C2203" s="3" t="str">
        <f>HYPERLINK("https://otsuka-europe-crm.veevavault.com/ui/#object/sent_email__v/VBLZ025E82GNORS", "SE-000273871")</f>
        <v>SE-000273871</v>
      </c>
      <c r="D2203" s="4">
        <v>45916.311215277776</v>
      </c>
      <c r="E2203" s="5">
        <v>1</v>
      </c>
      <c r="F2203" s="5">
        <v>1</v>
      </c>
      <c r="G2203" s="5">
        <v>0</v>
      </c>
      <c r="H2203" s="4" t="s">
        <v>11</v>
      </c>
      <c r="I2203" s="5">
        <v>0</v>
      </c>
      <c r="J2203" s="4">
        <v>45916.294456018521</v>
      </c>
    </row>
    <row r="2204" spans="1:10" x14ac:dyDescent="0.2">
      <c r="A2204" s="2" t="s">
        <v>10</v>
      </c>
      <c r="B2204" s="3" t="str">
        <f t="shared" si="44"/>
        <v>France - HCP Survey Email - June 2025</v>
      </c>
      <c r="C2204" s="3" t="str">
        <f>HYPERLINK("https://otsuka-europe-crm.veevavault.com/ui/#object/sent_email__v/VBLZ025E82GNORT", "SE-000273872")</f>
        <v>SE-000273872</v>
      </c>
      <c r="D2204" s="4" t="s">
        <v>11</v>
      </c>
      <c r="E2204" s="5">
        <v>0</v>
      </c>
      <c r="F2204" s="5">
        <v>0</v>
      </c>
      <c r="G2204" s="5">
        <v>0</v>
      </c>
      <c r="H2204" s="4" t="s">
        <v>11</v>
      </c>
      <c r="I2204" s="5">
        <v>0</v>
      </c>
      <c r="J2204" s="4">
        <v>45916.294282407405</v>
      </c>
    </row>
    <row r="2205" spans="1:10" x14ac:dyDescent="0.2">
      <c r="A2205" s="2" t="s">
        <v>10</v>
      </c>
      <c r="B2205" s="3" t="str">
        <f t="shared" si="44"/>
        <v>France - HCP Survey Email - June 2025</v>
      </c>
      <c r="C2205" s="3" t="str">
        <f>HYPERLINK("https://otsuka-europe-crm.veevavault.com/ui/#object/sent_email__v/VBLZ025E82GNORU", "SE-000273873")</f>
        <v>SE-000273873</v>
      </c>
      <c r="D2205" s="4" t="s">
        <v>11</v>
      </c>
      <c r="E2205" s="5">
        <v>0</v>
      </c>
      <c r="F2205" s="5">
        <v>0</v>
      </c>
      <c r="G2205" s="5">
        <v>0</v>
      </c>
      <c r="H2205" s="4" t="s">
        <v>11</v>
      </c>
      <c r="I2205" s="5">
        <v>0</v>
      </c>
      <c r="J2205" s="4">
        <v>45916.294803240744</v>
      </c>
    </row>
    <row r="2206" spans="1:10" x14ac:dyDescent="0.2">
      <c r="A2206" s="2" t="s">
        <v>10</v>
      </c>
      <c r="B2206" s="3" t="str">
        <f t="shared" si="44"/>
        <v>France - HCP Survey Email - June 2025</v>
      </c>
      <c r="C2206" s="3" t="str">
        <f>HYPERLINK("https://otsuka-europe-crm.veevavault.com/ui/#object/sent_email__v/VBLZ025E82GNORV", "SE-000273874")</f>
        <v>SE-000273874</v>
      </c>
      <c r="D2206" s="4" t="s">
        <v>11</v>
      </c>
      <c r="E2206" s="5">
        <v>0</v>
      </c>
      <c r="F2206" s="5">
        <v>0</v>
      </c>
      <c r="G2206" s="5">
        <v>0</v>
      </c>
      <c r="H2206" s="4" t="s">
        <v>11</v>
      </c>
      <c r="I2206" s="5">
        <v>0</v>
      </c>
      <c r="J2206" s="4">
        <v>45916.294687499998</v>
      </c>
    </row>
    <row r="2207" spans="1:10" x14ac:dyDescent="0.2">
      <c r="A2207" s="2" t="s">
        <v>10</v>
      </c>
      <c r="B2207" s="3" t="str">
        <f t="shared" si="44"/>
        <v>France - HCP Survey Email - June 2025</v>
      </c>
      <c r="C2207" s="3" t="str">
        <f>HYPERLINK("https://otsuka-europe-crm.veevavault.com/ui/#object/sent_email__v/VBLZ025E82GNORW", "SE-000273875")</f>
        <v>SE-000273875</v>
      </c>
      <c r="D2207" s="4" t="s">
        <v>11</v>
      </c>
      <c r="E2207" s="5">
        <v>0</v>
      </c>
      <c r="F2207" s="5">
        <v>0</v>
      </c>
      <c r="G2207" s="5">
        <v>0</v>
      </c>
      <c r="H2207" s="4" t="s">
        <v>11</v>
      </c>
      <c r="I2207" s="5">
        <v>0</v>
      </c>
      <c r="J2207" s="4">
        <v>45916.294351851851</v>
      </c>
    </row>
    <row r="2208" spans="1:10" x14ac:dyDescent="0.2">
      <c r="A2208" s="2" t="s">
        <v>10</v>
      </c>
      <c r="B2208" s="3" t="str">
        <f t="shared" si="44"/>
        <v>France - HCP Survey Email - June 2025</v>
      </c>
      <c r="C2208" s="3" t="str">
        <f>HYPERLINK("https://otsuka-europe-crm.veevavault.com/ui/#object/sent_email__v/VBLZ025E82GNORX", "SE-000273876")</f>
        <v>SE-000273876</v>
      </c>
      <c r="D2208" s="4" t="s">
        <v>11</v>
      </c>
      <c r="E2208" s="5">
        <v>0</v>
      </c>
      <c r="F2208" s="5">
        <v>0</v>
      </c>
      <c r="G2208" s="5">
        <v>0</v>
      </c>
      <c r="H2208" s="4" t="s">
        <v>11</v>
      </c>
      <c r="I2208" s="5">
        <v>0</v>
      </c>
      <c r="J2208" s="4">
        <v>45916.294212962966</v>
      </c>
    </row>
    <row r="2209" spans="1:10" x14ac:dyDescent="0.2">
      <c r="A2209" s="2" t="s">
        <v>10</v>
      </c>
      <c r="B2209" s="3" t="str">
        <f t="shared" si="44"/>
        <v>France - HCP Survey Email - June 2025</v>
      </c>
      <c r="C2209" s="3" t="str">
        <f>HYPERLINK("https://otsuka-europe-crm.veevavault.com/ui/#object/sent_email__v/VBLZ025E82GNORY", "SE-000273877")</f>
        <v>SE-000273877</v>
      </c>
      <c r="D2209" s="4">
        <v>45916.502060185187</v>
      </c>
      <c r="E2209" s="5">
        <v>1</v>
      </c>
      <c r="F2209" s="5">
        <v>1</v>
      </c>
      <c r="G2209" s="5">
        <v>0</v>
      </c>
      <c r="H2209" s="4" t="s">
        <v>11</v>
      </c>
      <c r="I2209" s="5">
        <v>0</v>
      </c>
      <c r="J2209" s="4">
        <v>45916.29482638889</v>
      </c>
    </row>
    <row r="2210" spans="1:10" x14ac:dyDescent="0.2">
      <c r="A2210" s="2" t="s">
        <v>10</v>
      </c>
      <c r="B2210" s="3" t="str">
        <f t="shared" si="44"/>
        <v>France - HCP Survey Email - June 2025</v>
      </c>
      <c r="C2210" s="3" t="str">
        <f>HYPERLINK("https://otsuka-europe-crm.veevavault.com/ui/#object/sent_email__v/VBLZ025E82GNORZ", "SE-000273878")</f>
        <v>SE-000273878</v>
      </c>
      <c r="D2210" s="4">
        <v>45916.295104166667</v>
      </c>
      <c r="E2210" s="5">
        <v>1</v>
      </c>
      <c r="F2210" s="5">
        <v>1</v>
      </c>
      <c r="G2210" s="5">
        <v>0</v>
      </c>
      <c r="H2210" s="4" t="s">
        <v>11</v>
      </c>
      <c r="I2210" s="5">
        <v>0</v>
      </c>
      <c r="J2210" s="4">
        <v>45916.294525462959</v>
      </c>
    </row>
    <row r="2211" spans="1:10" x14ac:dyDescent="0.2">
      <c r="A2211" s="2" t="s">
        <v>10</v>
      </c>
      <c r="B2211" s="3" t="str">
        <f t="shared" si="44"/>
        <v>France - HCP Survey Email - June 2025</v>
      </c>
      <c r="C2211" s="3" t="str">
        <f>HYPERLINK("https://otsuka-europe-crm.veevavault.com/ui/#object/sent_email__v/VBLZ025E82GNOS0", "SE-000273879")</f>
        <v>SE-000273879</v>
      </c>
      <c r="D2211" s="4" t="s">
        <v>11</v>
      </c>
      <c r="E2211" s="5">
        <v>0</v>
      </c>
      <c r="F2211" s="5">
        <v>0</v>
      </c>
      <c r="G2211" s="5">
        <v>0</v>
      </c>
      <c r="H2211" s="4" t="s">
        <v>11</v>
      </c>
      <c r="I2211" s="5">
        <v>0</v>
      </c>
      <c r="J2211" s="4">
        <v>45916.294340277775</v>
      </c>
    </row>
    <row r="2212" spans="1:10" x14ac:dyDescent="0.2">
      <c r="A2212" s="2" t="s">
        <v>10</v>
      </c>
      <c r="B2212" s="3" t="str">
        <f t="shared" si="44"/>
        <v>France - HCP Survey Email - June 2025</v>
      </c>
      <c r="C2212" s="3" t="str">
        <f>HYPERLINK("https://otsuka-europe-crm.veevavault.com/ui/#object/sent_email__v/VBLZ025E82GNOS1", "SE-000273880")</f>
        <v>SE-000273880</v>
      </c>
      <c r="D2212" s="4" t="s">
        <v>11</v>
      </c>
      <c r="E2212" s="5">
        <v>0</v>
      </c>
      <c r="F2212" s="5">
        <v>0</v>
      </c>
      <c r="G2212" s="5">
        <v>0</v>
      </c>
      <c r="H2212" s="4" t="s">
        <v>11</v>
      </c>
      <c r="I2212" s="5">
        <v>0</v>
      </c>
      <c r="J2212" s="4">
        <v>45916.294895833336</v>
      </c>
    </row>
    <row r="2213" spans="1:10" x14ac:dyDescent="0.2">
      <c r="A2213" s="2" t="s">
        <v>10</v>
      </c>
      <c r="B2213" s="3" t="str">
        <f t="shared" si="44"/>
        <v>France - HCP Survey Email - June 2025</v>
      </c>
      <c r="C2213" s="3" t="str">
        <f>HYPERLINK("https://otsuka-europe-crm.veevavault.com/ui/#object/sent_email__v/VBLZ025E82GNOS2", "SE-000273881")</f>
        <v>SE-000273881</v>
      </c>
      <c r="D2213" s="4" t="s">
        <v>11</v>
      </c>
      <c r="E2213" s="5">
        <v>0</v>
      </c>
      <c r="F2213" s="5">
        <v>0</v>
      </c>
      <c r="G2213" s="5">
        <v>0</v>
      </c>
      <c r="H2213" s="4" t="s">
        <v>11</v>
      </c>
      <c r="I2213" s="5">
        <v>0</v>
      </c>
      <c r="J2213" s="4">
        <v>45916.294745370367</v>
      </c>
    </row>
    <row r="2214" spans="1:10" x14ac:dyDescent="0.2">
      <c r="A2214" s="2" t="s">
        <v>10</v>
      </c>
      <c r="B2214" s="3" t="str">
        <f t="shared" si="44"/>
        <v>France - HCP Survey Email - June 2025</v>
      </c>
      <c r="C2214" s="3" t="str">
        <f>HYPERLINK("https://otsuka-europe-crm.veevavault.com/ui/#object/sent_email__v/VBLZ025E82GNOS3", "SE-000273882")</f>
        <v>SE-000273882</v>
      </c>
      <c r="D2214" s="4" t="s">
        <v>11</v>
      </c>
      <c r="E2214" s="5">
        <v>0</v>
      </c>
      <c r="F2214" s="5">
        <v>0</v>
      </c>
      <c r="G2214" s="5">
        <v>0</v>
      </c>
      <c r="H2214" s="4" t="s">
        <v>11</v>
      </c>
      <c r="I2214" s="5">
        <v>0</v>
      </c>
      <c r="J2214" s="4">
        <v>45916.29446759259</v>
      </c>
    </row>
    <row r="2215" spans="1:10" x14ac:dyDescent="0.2">
      <c r="A2215" s="2" t="s">
        <v>10</v>
      </c>
      <c r="B2215" s="3" t="str">
        <f t="shared" si="44"/>
        <v>France - HCP Survey Email - June 2025</v>
      </c>
      <c r="C2215" s="3" t="str">
        <f>HYPERLINK("https://otsuka-europe-crm.veevavault.com/ui/#object/sent_email__v/VBLZ025E82GNOS4", "SE-000273883")</f>
        <v>SE-000273883</v>
      </c>
      <c r="D2215" s="4">
        <v>45916.582094907404</v>
      </c>
      <c r="E2215" s="5">
        <v>1</v>
      </c>
      <c r="F2215" s="5">
        <v>2</v>
      </c>
      <c r="G2215" s="5">
        <v>0</v>
      </c>
      <c r="H2215" s="4" t="s">
        <v>11</v>
      </c>
      <c r="I2215" s="5">
        <v>0</v>
      </c>
      <c r="J2215" s="4">
        <v>45916.294293981482</v>
      </c>
    </row>
    <row r="2216" spans="1:10" x14ac:dyDescent="0.2">
      <c r="A2216" s="2" t="s">
        <v>10</v>
      </c>
      <c r="B2216" s="3" t="str">
        <f t="shared" si="44"/>
        <v>France - HCP Survey Email - June 2025</v>
      </c>
      <c r="C2216" s="3" t="str">
        <f>HYPERLINK("https://otsuka-europe-crm.veevavault.com/ui/#object/sent_email__v/VBLZ025E82GNOS5", "SE-000273884")</f>
        <v>SE-000273884</v>
      </c>
      <c r="D2216" s="4" t="s">
        <v>11</v>
      </c>
      <c r="E2216" s="5">
        <v>0</v>
      </c>
      <c r="F2216" s="5">
        <v>0</v>
      </c>
      <c r="G2216" s="5">
        <v>0</v>
      </c>
      <c r="H2216" s="4" t="s">
        <v>11</v>
      </c>
      <c r="I2216" s="5">
        <v>0</v>
      </c>
      <c r="J2216" s="4">
        <v>45916.294918981483</v>
      </c>
    </row>
    <row r="2217" spans="1:10" x14ac:dyDescent="0.2">
      <c r="A2217" s="2" t="s">
        <v>10</v>
      </c>
      <c r="B2217" s="3" t="str">
        <f t="shared" si="44"/>
        <v>France - HCP Survey Email - June 2025</v>
      </c>
      <c r="C2217" s="3" t="str">
        <f>HYPERLINK("https://otsuka-europe-crm.veevavault.com/ui/#object/sent_email__v/VBLZ025E82GNOS6", "SE-000273885")</f>
        <v>SE-000273885</v>
      </c>
      <c r="D2217" s="4" t="s">
        <v>11</v>
      </c>
      <c r="E2217" s="5">
        <v>0</v>
      </c>
      <c r="F2217" s="5">
        <v>0</v>
      </c>
      <c r="G2217" s="5">
        <v>0</v>
      </c>
      <c r="H2217" s="4" t="s">
        <v>11</v>
      </c>
      <c r="I2217" s="5">
        <v>0</v>
      </c>
      <c r="J2217" s="4">
        <v>45916.294594907406</v>
      </c>
    </row>
    <row r="2218" spans="1:10" x14ac:dyDescent="0.2">
      <c r="A2218" s="2" t="s">
        <v>10</v>
      </c>
      <c r="B2218" s="3" t="str">
        <f t="shared" si="44"/>
        <v>France - HCP Survey Email - June 2025</v>
      </c>
      <c r="C2218" s="3" t="str">
        <f>HYPERLINK("https://otsuka-europe-crm.veevavault.com/ui/#object/sent_email__v/VBLZ025E82GNOS7", "SE-000273886")</f>
        <v>SE-000273886</v>
      </c>
      <c r="D2218" s="4" t="s">
        <v>11</v>
      </c>
      <c r="E2218" s="5">
        <v>0</v>
      </c>
      <c r="F2218" s="5">
        <v>0</v>
      </c>
      <c r="G2218" s="5">
        <v>0</v>
      </c>
      <c r="H2218" s="4" t="s">
        <v>11</v>
      </c>
      <c r="I2218" s="5">
        <v>0</v>
      </c>
      <c r="J2218" s="4">
        <v>45916.294363425928</v>
      </c>
    </row>
    <row r="2219" spans="1:10" x14ac:dyDescent="0.2">
      <c r="A2219" s="2" t="s">
        <v>10</v>
      </c>
      <c r="B2219" s="3" t="str">
        <f t="shared" si="44"/>
        <v>France - HCP Survey Email - June 2025</v>
      </c>
      <c r="C2219" s="3" t="str">
        <f>HYPERLINK("https://otsuka-europe-crm.veevavault.com/ui/#object/sent_email__v/VBLZ025E82GNOS8", "SE-000273887")</f>
        <v>SE-000273887</v>
      </c>
      <c r="D2219" s="4">
        <v>45916.432280092595</v>
      </c>
      <c r="E2219" s="5">
        <v>1</v>
      </c>
      <c r="F2219" s="5">
        <v>1</v>
      </c>
      <c r="G2219" s="5">
        <v>1</v>
      </c>
      <c r="H2219" s="4">
        <v>45916.432557870372</v>
      </c>
      <c r="I2219" s="5">
        <v>1</v>
      </c>
      <c r="J2219" s="4">
        <v>45916.294212962966</v>
      </c>
    </row>
    <row r="2220" spans="1:10" x14ac:dyDescent="0.2">
      <c r="A2220" s="2" t="s">
        <v>10</v>
      </c>
      <c r="B2220" s="3" t="str">
        <f t="shared" si="44"/>
        <v>France - HCP Survey Email - June 2025</v>
      </c>
      <c r="C2220" s="3" t="str">
        <f>HYPERLINK("https://otsuka-europe-crm.veevavault.com/ui/#object/sent_email__v/VBLZ025E82GNOS9", "SE-000273888")</f>
        <v>SE-000273888</v>
      </c>
      <c r="D2220" s="4" t="s">
        <v>11</v>
      </c>
      <c r="E2220" s="5">
        <v>0</v>
      </c>
      <c r="F2220" s="5">
        <v>0</v>
      </c>
      <c r="G2220" s="5">
        <v>0</v>
      </c>
      <c r="H2220" s="4" t="s">
        <v>11</v>
      </c>
      <c r="I2220" s="5">
        <v>0</v>
      </c>
      <c r="J2220" s="4">
        <v>45916.294756944444</v>
      </c>
    </row>
    <row r="2221" spans="1:10" x14ac:dyDescent="0.2">
      <c r="A2221" s="2" t="s">
        <v>10</v>
      </c>
      <c r="B2221" s="3" t="str">
        <f t="shared" si="44"/>
        <v>France - HCP Survey Email - June 2025</v>
      </c>
      <c r="C2221" s="3" t="str">
        <f>HYPERLINK("https://otsuka-europe-crm.veevavault.com/ui/#object/sent_email__v/VBLZ025E82GNOSA", "SE-000273889")</f>
        <v>SE-000273889</v>
      </c>
      <c r="D2221" s="4">
        <v>45918.817685185182</v>
      </c>
      <c r="E2221" s="5">
        <v>1</v>
      </c>
      <c r="F2221" s="5">
        <v>1</v>
      </c>
      <c r="G2221" s="5">
        <v>0</v>
      </c>
      <c r="H2221" s="4" t="s">
        <v>11</v>
      </c>
      <c r="I2221" s="5">
        <v>0</v>
      </c>
      <c r="J2221" s="4">
        <v>45916.294594907406</v>
      </c>
    </row>
    <row r="2222" spans="1:10" x14ac:dyDescent="0.2">
      <c r="A2222" s="2" t="s">
        <v>10</v>
      </c>
      <c r="B2222" s="3" t="str">
        <f t="shared" si="44"/>
        <v>France - HCP Survey Email - June 2025</v>
      </c>
      <c r="C2222" s="3" t="str">
        <f>HYPERLINK("https://otsuka-europe-crm.veevavault.com/ui/#object/sent_email__v/VBLZ025E82GNOSB", "SE-000273890")</f>
        <v>SE-000273890</v>
      </c>
      <c r="D2222" s="4" t="s">
        <v>11</v>
      </c>
      <c r="E2222" s="5">
        <v>0</v>
      </c>
      <c r="F2222" s="5">
        <v>0</v>
      </c>
      <c r="G2222" s="5">
        <v>0</v>
      </c>
      <c r="H2222" s="4" t="s">
        <v>11</v>
      </c>
      <c r="I2222" s="5">
        <v>0</v>
      </c>
      <c r="J2222" s="4">
        <v>45916.294374999998</v>
      </c>
    </row>
    <row r="2223" spans="1:10" x14ac:dyDescent="0.2">
      <c r="A2223" s="2" t="s">
        <v>10</v>
      </c>
      <c r="B2223" s="3" t="str">
        <f t="shared" si="44"/>
        <v>France - HCP Survey Email - June 2025</v>
      </c>
      <c r="C2223" s="3" t="str">
        <f>HYPERLINK("https://otsuka-europe-crm.veevavault.com/ui/#object/sent_email__v/VBLZ025E82GNOSC", "SE-000273891")</f>
        <v>SE-000273891</v>
      </c>
      <c r="D2223" s="4" t="s">
        <v>11</v>
      </c>
      <c r="E2223" s="5">
        <v>0</v>
      </c>
      <c r="F2223" s="5">
        <v>0</v>
      </c>
      <c r="G2223" s="5">
        <v>0</v>
      </c>
      <c r="H2223" s="4" t="s">
        <v>11</v>
      </c>
      <c r="I2223" s="5">
        <v>0</v>
      </c>
      <c r="J2223" s="4">
        <v>45916.294930555552</v>
      </c>
    </row>
    <row r="2224" spans="1:10" x14ac:dyDescent="0.2">
      <c r="A2224" s="2" t="s">
        <v>10</v>
      </c>
      <c r="B2224" s="3" t="str">
        <f t="shared" si="44"/>
        <v>France - HCP Survey Email - June 2025</v>
      </c>
      <c r="C2224" s="3" t="str">
        <f>HYPERLINK("https://otsuka-europe-crm.veevavault.com/ui/#object/sent_email__v/VBLZ025E82GNOSD", "SE-000273892")</f>
        <v>SE-000273892</v>
      </c>
      <c r="D2224" s="4" t="s">
        <v>11</v>
      </c>
      <c r="E2224" s="5">
        <v>0</v>
      </c>
      <c r="F2224" s="5">
        <v>0</v>
      </c>
      <c r="G2224" s="5">
        <v>0</v>
      </c>
      <c r="H2224" s="4" t="s">
        <v>11</v>
      </c>
      <c r="I2224" s="5">
        <v>0</v>
      </c>
      <c r="J2224" s="4">
        <v>45916.294652777775</v>
      </c>
    </row>
    <row r="2225" spans="1:10" x14ac:dyDescent="0.2">
      <c r="A2225" s="2" t="s">
        <v>10</v>
      </c>
      <c r="B2225" s="3" t="str">
        <f t="shared" si="44"/>
        <v>France - HCP Survey Email - June 2025</v>
      </c>
      <c r="C2225" s="3" t="str">
        <f>HYPERLINK("https://otsuka-europe-crm.veevavault.com/ui/#object/sent_email__v/VBLZ025E82GNOSE", "SE-000273893")</f>
        <v>SE-000273893</v>
      </c>
      <c r="D2225" s="4" t="s">
        <v>11</v>
      </c>
      <c r="E2225" s="5">
        <v>0</v>
      </c>
      <c r="F2225" s="5">
        <v>0</v>
      </c>
      <c r="G2225" s="5">
        <v>0</v>
      </c>
      <c r="H2225" s="4" t="s">
        <v>11</v>
      </c>
      <c r="I2225" s="5">
        <v>0</v>
      </c>
      <c r="J2225" s="4">
        <v>45916.29446759259</v>
      </c>
    </row>
    <row r="2226" spans="1:10" x14ac:dyDescent="0.2">
      <c r="A2226" s="2" t="s">
        <v>10</v>
      </c>
      <c r="B2226" s="3" t="str">
        <f t="shared" si="44"/>
        <v>France - HCP Survey Email - June 2025</v>
      </c>
      <c r="C2226" s="3" t="str">
        <f>HYPERLINK("https://otsuka-europe-crm.veevavault.com/ui/#object/sent_email__v/VBLZ025E82GNOSF", "SE-000273894")</f>
        <v>SE-000273894</v>
      </c>
      <c r="D2226" s="4" t="s">
        <v>11</v>
      </c>
      <c r="E2226" s="5">
        <v>0</v>
      </c>
      <c r="F2226" s="5">
        <v>0</v>
      </c>
      <c r="G2226" s="5">
        <v>0</v>
      </c>
      <c r="H2226" s="4" t="s">
        <v>11</v>
      </c>
      <c r="I2226" s="5">
        <v>0</v>
      </c>
      <c r="J2226" s="4">
        <v>45916.294212962966</v>
      </c>
    </row>
    <row r="2227" spans="1:10" x14ac:dyDescent="0.2">
      <c r="A2227" s="2" t="s">
        <v>10</v>
      </c>
      <c r="B2227" s="3" t="str">
        <f t="shared" si="44"/>
        <v>France - HCP Survey Email - June 2025</v>
      </c>
      <c r="C2227" s="3" t="str">
        <f>HYPERLINK("https://otsuka-europe-crm.veevavault.com/ui/#object/sent_email__v/VBLZ025E82GNOSG", "SE-000273895")</f>
        <v>SE-000273895</v>
      </c>
      <c r="D2227" s="4" t="s">
        <v>11</v>
      </c>
      <c r="E2227" s="5">
        <v>0</v>
      </c>
      <c r="F2227" s="5">
        <v>0</v>
      </c>
      <c r="G2227" s="5">
        <v>0</v>
      </c>
      <c r="H2227" s="4" t="s">
        <v>11</v>
      </c>
      <c r="I2227" s="5">
        <v>0</v>
      </c>
      <c r="J2227" s="4">
        <v>45916.294861111113</v>
      </c>
    </row>
    <row r="2228" spans="1:10" x14ac:dyDescent="0.2">
      <c r="A2228" s="2" t="s">
        <v>10</v>
      </c>
      <c r="B2228" s="3" t="str">
        <f t="shared" si="44"/>
        <v>France - HCP Survey Email - June 2025</v>
      </c>
      <c r="C2228" s="3" t="str">
        <f>HYPERLINK("https://otsuka-europe-crm.veevavault.com/ui/#object/sent_email__v/VBLZ025E82GNOSH", "SE-000273896")</f>
        <v>SE-000273896</v>
      </c>
      <c r="D2228" s="4">
        <v>45918.647662037038</v>
      </c>
      <c r="E2228" s="5">
        <v>1</v>
      </c>
      <c r="F2228" s="5">
        <v>1</v>
      </c>
      <c r="G2228" s="5">
        <v>0</v>
      </c>
      <c r="H2228" s="4" t="s">
        <v>11</v>
      </c>
      <c r="I2228" s="5">
        <v>0</v>
      </c>
      <c r="J2228" s="4">
        <v>45916.294548611113</v>
      </c>
    </row>
    <row r="2229" spans="1:10" x14ac:dyDescent="0.2">
      <c r="A2229" s="2" t="s">
        <v>10</v>
      </c>
      <c r="B2229" s="3" t="str">
        <f t="shared" si="44"/>
        <v>France - HCP Survey Email - June 2025</v>
      </c>
      <c r="C2229" s="3" t="str">
        <f>HYPERLINK("https://otsuka-europe-crm.veevavault.com/ui/#object/sent_email__v/VBLZ025E82GNOSI", "SE-000273897")</f>
        <v>SE-000273897</v>
      </c>
      <c r="D2229" s="4" t="s">
        <v>11</v>
      </c>
      <c r="E2229" s="5">
        <v>0</v>
      </c>
      <c r="F2229" s="5">
        <v>0</v>
      </c>
      <c r="G2229" s="5">
        <v>0</v>
      </c>
      <c r="H2229" s="4" t="s">
        <v>11</v>
      </c>
      <c r="I2229" s="5">
        <v>0</v>
      </c>
      <c r="J2229" s="4">
        <v>45916.294386574074</v>
      </c>
    </row>
    <row r="2230" spans="1:10" x14ac:dyDescent="0.2">
      <c r="A2230" s="2" t="s">
        <v>10</v>
      </c>
      <c r="B2230" s="3" t="str">
        <f t="shared" si="44"/>
        <v>France - HCP Survey Email - June 2025</v>
      </c>
      <c r="C2230" s="3" t="str">
        <f>HYPERLINK("https://otsuka-europe-crm.veevavault.com/ui/#object/sent_email__v/VBLZ025E82GNOSJ", "SE-000273898")</f>
        <v>SE-000273898</v>
      </c>
      <c r="D2230" s="4">
        <v>45916.417245370372</v>
      </c>
      <c r="E2230" s="5">
        <v>1</v>
      </c>
      <c r="F2230" s="5">
        <v>1</v>
      </c>
      <c r="G2230" s="5">
        <v>1</v>
      </c>
      <c r="H2230" s="4">
        <v>45916.421863425923</v>
      </c>
      <c r="I2230" s="5">
        <v>4</v>
      </c>
      <c r="J2230" s="4">
        <v>45916.294236111113</v>
      </c>
    </row>
    <row r="2231" spans="1:10" x14ac:dyDescent="0.2">
      <c r="A2231" s="2" t="s">
        <v>10</v>
      </c>
      <c r="B2231" s="3" t="str">
        <f t="shared" si="44"/>
        <v>France - HCP Survey Email - June 2025</v>
      </c>
      <c r="C2231" s="3" t="str">
        <f>HYPERLINK("https://otsuka-europe-crm.veevavault.com/ui/#object/sent_email__v/VBLZ025E82GNOSK", "SE-000273899")</f>
        <v>SE-000273899</v>
      </c>
      <c r="D2231" s="4" t="s">
        <v>11</v>
      </c>
      <c r="E2231" s="5">
        <v>0</v>
      </c>
      <c r="F2231" s="5">
        <v>0</v>
      </c>
      <c r="G2231" s="5">
        <v>0</v>
      </c>
      <c r="H2231" s="4" t="s">
        <v>11</v>
      </c>
      <c r="I2231" s="5">
        <v>0</v>
      </c>
      <c r="J2231" s="4">
        <v>45916.294872685183</v>
      </c>
    </row>
    <row r="2232" spans="1:10" x14ac:dyDescent="0.2">
      <c r="A2232" s="2" t="s">
        <v>10</v>
      </c>
      <c r="B2232" s="3" t="str">
        <f t="shared" si="44"/>
        <v>France - HCP Survey Email - June 2025</v>
      </c>
      <c r="C2232" s="3" t="str">
        <f>HYPERLINK("https://otsuka-europe-crm.veevavault.com/ui/#object/sent_email__v/VBLZ025E82GNOSL", "SE-000273900")</f>
        <v>SE-000273900</v>
      </c>
      <c r="D2232" s="4" t="s">
        <v>11</v>
      </c>
      <c r="E2232" s="5">
        <v>0</v>
      </c>
      <c r="F2232" s="5">
        <v>0</v>
      </c>
      <c r="G2232" s="5">
        <v>0</v>
      </c>
      <c r="H2232" s="4" t="s">
        <v>11</v>
      </c>
      <c r="I2232" s="5">
        <v>0</v>
      </c>
      <c r="J2232" s="4">
        <v>45916.294537037036</v>
      </c>
    </row>
    <row r="2233" spans="1:10" x14ac:dyDescent="0.2">
      <c r="A2233" s="2" t="s">
        <v>10</v>
      </c>
      <c r="B2233" s="3" t="str">
        <f t="shared" si="44"/>
        <v>France - HCP Survey Email - June 2025</v>
      </c>
      <c r="C2233" s="3" t="str">
        <f>HYPERLINK("https://otsuka-europe-crm.veevavault.com/ui/#object/sent_email__v/VBLZ025E82GNOSM", "SE-000273901")</f>
        <v>SE-000273901</v>
      </c>
      <c r="D2233" s="4" t="s">
        <v>11</v>
      </c>
      <c r="E2233" s="5">
        <v>0</v>
      </c>
      <c r="F2233" s="5">
        <v>0</v>
      </c>
      <c r="G2233" s="5">
        <v>0</v>
      </c>
      <c r="H2233" s="4" t="s">
        <v>11</v>
      </c>
      <c r="I2233" s="5">
        <v>0</v>
      </c>
      <c r="J2233" s="4">
        <v>45916.294293981482</v>
      </c>
    </row>
    <row r="2234" spans="1:10" x14ac:dyDescent="0.2">
      <c r="A2234" s="2" t="s">
        <v>10</v>
      </c>
      <c r="B2234" s="3" t="str">
        <f t="shared" si="44"/>
        <v>France - HCP Survey Email - June 2025</v>
      </c>
      <c r="C2234" s="3" t="str">
        <f>HYPERLINK("https://otsuka-europe-crm.veevavault.com/ui/#object/sent_email__v/VBLZ025E82GNOSN", "SE-000273902")</f>
        <v>SE-000273902</v>
      </c>
      <c r="D2234" s="4" t="s">
        <v>11</v>
      </c>
      <c r="E2234" s="5">
        <v>0</v>
      </c>
      <c r="F2234" s="5">
        <v>0</v>
      </c>
      <c r="G2234" s="5">
        <v>0</v>
      </c>
      <c r="H2234" s="4" t="s">
        <v>11</v>
      </c>
      <c r="I2234" s="5">
        <v>0</v>
      </c>
      <c r="J2234" s="4">
        <v>45916.294953703706</v>
      </c>
    </row>
    <row r="2235" spans="1:10" x14ac:dyDescent="0.2">
      <c r="A2235" s="2" t="s">
        <v>10</v>
      </c>
      <c r="B2235" s="3" t="str">
        <f t="shared" si="44"/>
        <v>France - HCP Survey Email - June 2025</v>
      </c>
      <c r="C2235" s="3" t="str">
        <f>HYPERLINK("https://otsuka-europe-crm.veevavault.com/ui/#object/sent_email__v/VBLZ025E82GNOSO", "SE-000273903")</f>
        <v>SE-000273903</v>
      </c>
      <c r="D2235" s="4" t="s">
        <v>11</v>
      </c>
      <c r="E2235" s="5">
        <v>0</v>
      </c>
      <c r="F2235" s="5">
        <v>0</v>
      </c>
      <c r="G2235" s="5">
        <v>0</v>
      </c>
      <c r="H2235" s="4" t="s">
        <v>11</v>
      </c>
      <c r="I2235" s="5">
        <v>0</v>
      </c>
      <c r="J2235" s="4">
        <v>45916.294768518521</v>
      </c>
    </row>
    <row r="2236" spans="1:10" x14ac:dyDescent="0.2">
      <c r="A2236" s="2" t="s">
        <v>10</v>
      </c>
      <c r="B2236" s="3" t="str">
        <f t="shared" si="44"/>
        <v>France - HCP Survey Email - June 2025</v>
      </c>
      <c r="C2236" s="3" t="str">
        <f>HYPERLINK("https://otsuka-europe-crm.veevavault.com/ui/#object/sent_email__v/VBLZ025E82GNOSP", "SE-000273904")</f>
        <v>SE-000273904</v>
      </c>
      <c r="D2236" s="4">
        <v>45917.470659722225</v>
      </c>
      <c r="E2236" s="5">
        <v>1</v>
      </c>
      <c r="F2236" s="5">
        <v>1</v>
      </c>
      <c r="G2236" s="5">
        <v>0</v>
      </c>
      <c r="H2236" s="4" t="s">
        <v>11</v>
      </c>
      <c r="I2236" s="5">
        <v>0</v>
      </c>
      <c r="J2236" s="4">
        <v>45916.294479166667</v>
      </c>
    </row>
    <row r="2237" spans="1:10" x14ac:dyDescent="0.2">
      <c r="A2237" s="2" t="s">
        <v>10</v>
      </c>
      <c r="B2237" s="3" t="str">
        <f t="shared" si="44"/>
        <v>France - HCP Survey Email - June 2025</v>
      </c>
      <c r="C2237" s="3" t="str">
        <f>HYPERLINK("https://otsuka-europe-crm.veevavault.com/ui/#object/sent_email__v/VBLZ025E82GNOSQ", "SE-000273905")</f>
        <v>SE-000273905</v>
      </c>
      <c r="D2237" s="4">
        <v>45916.296770833331</v>
      </c>
      <c r="E2237" s="5">
        <v>1</v>
      </c>
      <c r="F2237" s="5">
        <v>1</v>
      </c>
      <c r="G2237" s="5">
        <v>0</v>
      </c>
      <c r="H2237" s="4" t="s">
        <v>11</v>
      </c>
      <c r="I2237" s="5">
        <v>0</v>
      </c>
      <c r="J2237" s="4">
        <v>45916.294305555559</v>
      </c>
    </row>
    <row r="2238" spans="1:10" x14ac:dyDescent="0.2">
      <c r="A2238" s="2" t="s">
        <v>10</v>
      </c>
      <c r="B2238" s="3" t="str">
        <f t="shared" si="44"/>
        <v>France - HCP Survey Email - June 2025</v>
      </c>
      <c r="C2238" s="3" t="str">
        <f>HYPERLINK("https://otsuka-europe-crm.veevavault.com/ui/#object/sent_email__v/VBLZ025E82GNOSR", "SE-000273906")</f>
        <v>SE-000273906</v>
      </c>
      <c r="D2238" s="4" t="s">
        <v>11</v>
      </c>
      <c r="E2238" s="5">
        <v>0</v>
      </c>
      <c r="F2238" s="5">
        <v>0</v>
      </c>
      <c r="G2238" s="5">
        <v>0</v>
      </c>
      <c r="H2238" s="4" t="s">
        <v>11</v>
      </c>
      <c r="I2238" s="5">
        <v>0</v>
      </c>
      <c r="J2238" s="4">
        <v>45916.294872685183</v>
      </c>
    </row>
    <row r="2239" spans="1:10" x14ac:dyDescent="0.2">
      <c r="A2239" s="2" t="s">
        <v>10</v>
      </c>
      <c r="B2239" s="3" t="str">
        <f t="shared" si="44"/>
        <v>France - HCP Survey Email - June 2025</v>
      </c>
      <c r="C2239" s="3" t="str">
        <f>HYPERLINK("https://otsuka-europe-crm.veevavault.com/ui/#object/sent_email__v/VBLZ025E82GNOSS", "SE-000273907")</f>
        <v>SE-000273907</v>
      </c>
      <c r="D2239" s="4" t="s">
        <v>11</v>
      </c>
      <c r="E2239" s="5">
        <v>0</v>
      </c>
      <c r="F2239" s="5">
        <v>0</v>
      </c>
      <c r="G2239" s="5">
        <v>0</v>
      </c>
      <c r="H2239" s="4" t="s">
        <v>11</v>
      </c>
      <c r="I2239" s="5">
        <v>0</v>
      </c>
      <c r="J2239" s="4">
        <v>45916.294756944444</v>
      </c>
    </row>
    <row r="2240" spans="1:10" x14ac:dyDescent="0.2">
      <c r="A2240" s="2" t="s">
        <v>10</v>
      </c>
      <c r="B2240" s="3" t="str">
        <f t="shared" si="44"/>
        <v>France - HCP Survey Email - June 2025</v>
      </c>
      <c r="C2240" s="3" t="str">
        <f>HYPERLINK("https://otsuka-europe-crm.veevavault.com/ui/#object/sent_email__v/VBLZ025E82GNOST", "SE-000273908")</f>
        <v>SE-000273908</v>
      </c>
      <c r="D2240" s="4" t="s">
        <v>11</v>
      </c>
      <c r="E2240" s="5">
        <v>0</v>
      </c>
      <c r="F2240" s="5">
        <v>0</v>
      </c>
      <c r="G2240" s="5">
        <v>0</v>
      </c>
      <c r="H2240" s="4" t="s">
        <v>11</v>
      </c>
      <c r="I2240" s="5">
        <v>0</v>
      </c>
      <c r="J2240" s="4">
        <v>45916.294432870367</v>
      </c>
    </row>
    <row r="2241" spans="1:10" x14ac:dyDescent="0.2">
      <c r="A2241" s="2" t="s">
        <v>10</v>
      </c>
      <c r="B2241" s="3" t="str">
        <f t="shared" ref="B2241:B2304" si="45">HYPERLINK("https://otsuka-europe-crm.veevavault.com/ui/#object/approved_document__v/V5OZ025E82TMV97", "France - HCP Survey Email - June 2025")</f>
        <v>France - HCP Survey Email - June 2025</v>
      </c>
      <c r="C2241" s="3" t="str">
        <f>HYPERLINK("https://otsuka-europe-crm.veevavault.com/ui/#object/sent_email__v/VBLZ025E82GNOSU", "SE-000273909")</f>
        <v>SE-000273909</v>
      </c>
      <c r="D2241" s="4" t="s">
        <v>11</v>
      </c>
      <c r="E2241" s="5">
        <v>0</v>
      </c>
      <c r="F2241" s="5">
        <v>0</v>
      </c>
      <c r="G2241" s="5">
        <v>0</v>
      </c>
      <c r="H2241" s="4" t="s">
        <v>11</v>
      </c>
      <c r="I2241" s="5">
        <v>0</v>
      </c>
      <c r="J2241" s="4">
        <v>45916.294212962966</v>
      </c>
    </row>
    <row r="2242" spans="1:10" x14ac:dyDescent="0.2">
      <c r="A2242" s="2" t="s">
        <v>10</v>
      </c>
      <c r="B2242" s="3" t="str">
        <f t="shared" si="45"/>
        <v>France - HCP Survey Email - June 2025</v>
      </c>
      <c r="C2242" s="3" t="str">
        <f>HYPERLINK("https://otsuka-europe-crm.veevavault.com/ui/#object/sent_email__v/VBLZ025E82GNOSV", "SE-000273910")</f>
        <v>SE-000273910</v>
      </c>
      <c r="D2242" s="4" t="s">
        <v>11</v>
      </c>
      <c r="E2242" s="5">
        <v>0</v>
      </c>
      <c r="F2242" s="5">
        <v>0</v>
      </c>
      <c r="G2242" s="5">
        <v>0</v>
      </c>
      <c r="H2242" s="4" t="s">
        <v>11</v>
      </c>
      <c r="I2242" s="5">
        <v>0</v>
      </c>
      <c r="J2242" s="4">
        <v>45916.294861111113</v>
      </c>
    </row>
    <row r="2243" spans="1:10" x14ac:dyDescent="0.2">
      <c r="A2243" s="2" t="s">
        <v>10</v>
      </c>
      <c r="B2243" s="3" t="str">
        <f t="shared" si="45"/>
        <v>France - HCP Survey Email - June 2025</v>
      </c>
      <c r="C2243" s="3" t="str">
        <f>HYPERLINK("https://otsuka-europe-crm.veevavault.com/ui/#object/sent_email__v/VBLZ025E82GNOSW", "SE-000273911")</f>
        <v>SE-000273911</v>
      </c>
      <c r="D2243" s="4" t="s">
        <v>11</v>
      </c>
      <c r="E2243" s="5">
        <v>0</v>
      </c>
      <c r="F2243" s="5">
        <v>0</v>
      </c>
      <c r="G2243" s="5">
        <v>0</v>
      </c>
      <c r="H2243" s="4" t="s">
        <v>11</v>
      </c>
      <c r="I2243" s="5">
        <v>0</v>
      </c>
      <c r="J2243" s="4">
        <v>45916.294641203705</v>
      </c>
    </row>
    <row r="2244" spans="1:10" x14ac:dyDescent="0.2">
      <c r="A2244" s="2" t="s">
        <v>10</v>
      </c>
      <c r="B2244" s="3" t="str">
        <f t="shared" si="45"/>
        <v>France - HCP Survey Email - June 2025</v>
      </c>
      <c r="C2244" s="3" t="str">
        <f>HYPERLINK("https://otsuka-europe-crm.veevavault.com/ui/#object/sent_email__v/VBLZ025E82GNOSX", "SE-000273912")</f>
        <v>SE-000273912</v>
      </c>
      <c r="D2244" s="4" t="s">
        <v>11</v>
      </c>
      <c r="E2244" s="5">
        <v>0</v>
      </c>
      <c r="F2244" s="5">
        <v>0</v>
      </c>
      <c r="G2244" s="5">
        <v>0</v>
      </c>
      <c r="H2244" s="4" t="s">
        <v>11</v>
      </c>
      <c r="I2244" s="5">
        <v>0</v>
      </c>
      <c r="J2244" s="4">
        <v>45916.294340277775</v>
      </c>
    </row>
    <row r="2245" spans="1:10" x14ac:dyDescent="0.2">
      <c r="A2245" s="2" t="s">
        <v>10</v>
      </c>
      <c r="B2245" s="3" t="str">
        <f t="shared" si="45"/>
        <v>France - HCP Survey Email - June 2025</v>
      </c>
      <c r="C2245" s="3" t="str">
        <f>HYPERLINK("https://otsuka-europe-crm.veevavault.com/ui/#object/sent_email__v/VBLZ025E82GNOSY", "SE-000273913")</f>
        <v>SE-000273913</v>
      </c>
      <c r="D2245" s="4">
        <v>45919.322905092595</v>
      </c>
      <c r="E2245" s="5">
        <v>1</v>
      </c>
      <c r="F2245" s="5">
        <v>1</v>
      </c>
      <c r="G2245" s="5">
        <v>1</v>
      </c>
      <c r="H2245" s="4">
        <v>45919.323171296295</v>
      </c>
      <c r="I2245" s="5">
        <v>1</v>
      </c>
      <c r="J2245" s="4">
        <v>45916.294236111113</v>
      </c>
    </row>
    <row r="2246" spans="1:10" x14ac:dyDescent="0.2">
      <c r="A2246" s="2" t="s">
        <v>10</v>
      </c>
      <c r="B2246" s="3" t="str">
        <f t="shared" si="45"/>
        <v>France - HCP Survey Email - June 2025</v>
      </c>
      <c r="C2246" s="3" t="str">
        <f>HYPERLINK("https://otsuka-europe-crm.veevavault.com/ui/#object/sent_email__v/VBLZ025E82GNOSZ", "SE-000273914")</f>
        <v>SE-000273914</v>
      </c>
      <c r="D2246" s="4" t="s">
        <v>11</v>
      </c>
      <c r="E2246" s="5">
        <v>0</v>
      </c>
      <c r="F2246" s="5">
        <v>0</v>
      </c>
      <c r="G2246" s="5">
        <v>0</v>
      </c>
      <c r="H2246" s="4" t="s">
        <v>11</v>
      </c>
      <c r="I2246" s="5">
        <v>0</v>
      </c>
      <c r="J2246" s="4">
        <v>45916.29483796296</v>
      </c>
    </row>
    <row r="2247" spans="1:10" x14ac:dyDescent="0.2">
      <c r="A2247" s="2" t="s">
        <v>10</v>
      </c>
      <c r="B2247" s="3" t="str">
        <f t="shared" si="45"/>
        <v>France - HCP Survey Email - June 2025</v>
      </c>
      <c r="C2247" s="3" t="str">
        <f>HYPERLINK("https://otsuka-europe-crm.veevavault.com/ui/#object/sent_email__v/VBLZ025E82GNOT0", "SE-000273915")</f>
        <v>SE-000273915</v>
      </c>
      <c r="D2247" s="4">
        <v>45916.306145833332</v>
      </c>
      <c r="E2247" s="5">
        <v>1</v>
      </c>
      <c r="F2247" s="5">
        <v>1</v>
      </c>
      <c r="G2247" s="5">
        <v>1</v>
      </c>
      <c r="H2247" s="4">
        <v>45916.306400462963</v>
      </c>
      <c r="I2247" s="5">
        <v>1</v>
      </c>
      <c r="J2247" s="4">
        <v>45916.294525462959</v>
      </c>
    </row>
    <row r="2248" spans="1:10" x14ac:dyDescent="0.2">
      <c r="A2248" s="2" t="s">
        <v>10</v>
      </c>
      <c r="B2248" s="3" t="str">
        <f t="shared" si="45"/>
        <v>France - HCP Survey Email - June 2025</v>
      </c>
      <c r="C2248" s="3" t="str">
        <f>HYPERLINK("https://otsuka-europe-crm.veevavault.com/ui/#object/sent_email__v/VBLZ025E82GNOT1", "SE-000273916")</f>
        <v>SE-000273916</v>
      </c>
      <c r="D2248" s="4" t="s">
        <v>11</v>
      </c>
      <c r="E2248" s="5">
        <v>0</v>
      </c>
      <c r="F2248" s="5">
        <v>0</v>
      </c>
      <c r="G2248" s="5">
        <v>0</v>
      </c>
      <c r="H2248" s="4" t="s">
        <v>11</v>
      </c>
      <c r="I2248" s="5">
        <v>0</v>
      </c>
      <c r="J2248" s="4">
        <v>45916.294328703705</v>
      </c>
    </row>
    <row r="2249" spans="1:10" x14ac:dyDescent="0.2">
      <c r="A2249" s="2" t="s">
        <v>10</v>
      </c>
      <c r="B2249" s="3" t="str">
        <f t="shared" si="45"/>
        <v>France - HCP Survey Email - June 2025</v>
      </c>
      <c r="C2249" s="3" t="str">
        <f>HYPERLINK("https://otsuka-europe-crm.veevavault.com/ui/#object/sent_email__v/VBLZ025E82GNOT3", "SE-000273918")</f>
        <v>SE-000273918</v>
      </c>
      <c r="D2249" s="4" t="s">
        <v>11</v>
      </c>
      <c r="E2249" s="5">
        <v>0</v>
      </c>
      <c r="F2249" s="5">
        <v>0</v>
      </c>
      <c r="G2249" s="5">
        <v>0</v>
      </c>
      <c r="H2249" s="4" t="s">
        <v>11</v>
      </c>
      <c r="I2249" s="5">
        <v>0</v>
      </c>
      <c r="J2249" s="4">
        <v>45916.294803240744</v>
      </c>
    </row>
    <row r="2250" spans="1:10" x14ac:dyDescent="0.2">
      <c r="A2250" s="2" t="s">
        <v>10</v>
      </c>
      <c r="B2250" s="3" t="str">
        <f t="shared" si="45"/>
        <v>France - HCP Survey Email - June 2025</v>
      </c>
      <c r="C2250" s="3" t="str">
        <f>HYPERLINK("https://otsuka-europe-crm.veevavault.com/ui/#object/sent_email__v/VBLZ025E82GNOT4", "SE-000273919")</f>
        <v>SE-000273919</v>
      </c>
      <c r="D2250" s="4" t="s">
        <v>11</v>
      </c>
      <c r="E2250" s="5">
        <v>0</v>
      </c>
      <c r="F2250" s="5">
        <v>0</v>
      </c>
      <c r="G2250" s="5">
        <v>0</v>
      </c>
      <c r="H2250" s="4" t="s">
        <v>11</v>
      </c>
      <c r="I2250" s="5">
        <v>0</v>
      </c>
      <c r="J2250" s="4">
        <v>45916.294479166667</v>
      </c>
    </row>
    <row r="2251" spans="1:10" x14ac:dyDescent="0.2">
      <c r="A2251" s="2" t="s">
        <v>10</v>
      </c>
      <c r="B2251" s="3" t="str">
        <f t="shared" si="45"/>
        <v>France - HCP Survey Email - June 2025</v>
      </c>
      <c r="C2251" s="3" t="str">
        <f>HYPERLINK("https://otsuka-europe-crm.veevavault.com/ui/#object/sent_email__v/VBLZ025E82GNOT5", "SE-000273920")</f>
        <v>SE-000273920</v>
      </c>
      <c r="D2251" s="4" t="s">
        <v>11</v>
      </c>
      <c r="E2251" s="5">
        <v>0</v>
      </c>
      <c r="F2251" s="5">
        <v>0</v>
      </c>
      <c r="G2251" s="5">
        <v>0</v>
      </c>
      <c r="H2251" s="4" t="s">
        <v>11</v>
      </c>
      <c r="I2251" s="5">
        <v>0</v>
      </c>
      <c r="J2251" s="4">
        <v>45916.294224537036</v>
      </c>
    </row>
    <row r="2252" spans="1:10" x14ac:dyDescent="0.2">
      <c r="A2252" s="2" t="s">
        <v>10</v>
      </c>
      <c r="B2252" s="3" t="str">
        <f t="shared" si="45"/>
        <v>France - HCP Survey Email - June 2025</v>
      </c>
      <c r="C2252" s="3" t="str">
        <f>HYPERLINK("https://otsuka-europe-crm.veevavault.com/ui/#object/sent_email__v/VBLZ025E82GNOT6", "SE-000273921")</f>
        <v>SE-000273921</v>
      </c>
      <c r="D2252" s="4">
        <v>45916.784872685188</v>
      </c>
      <c r="E2252" s="5">
        <v>1</v>
      </c>
      <c r="F2252" s="5">
        <v>5</v>
      </c>
      <c r="G2252" s="5">
        <v>0</v>
      </c>
      <c r="H2252" s="4" t="s">
        <v>11</v>
      </c>
      <c r="I2252" s="5">
        <v>0</v>
      </c>
      <c r="J2252" s="4">
        <v>45916.294849537036</v>
      </c>
    </row>
    <row r="2253" spans="1:10" x14ac:dyDescent="0.2">
      <c r="A2253" s="2" t="s">
        <v>10</v>
      </c>
      <c r="B2253" s="3" t="str">
        <f t="shared" si="45"/>
        <v>France - HCP Survey Email - June 2025</v>
      </c>
      <c r="C2253" s="3" t="str">
        <f>HYPERLINK("https://otsuka-europe-crm.veevavault.com/ui/#object/sent_email__v/VBLZ025E82GNOT7", "SE-000273922")</f>
        <v>SE-000273922</v>
      </c>
      <c r="D2253" s="4">
        <v>45916.563576388886</v>
      </c>
      <c r="E2253" s="5">
        <v>1</v>
      </c>
      <c r="F2253" s="5">
        <v>1</v>
      </c>
      <c r="G2253" s="5">
        <v>1</v>
      </c>
      <c r="H2253" s="4">
        <v>45916.567488425928</v>
      </c>
      <c r="I2253" s="5">
        <v>1</v>
      </c>
      <c r="J2253" s="4">
        <v>45916.294710648152</v>
      </c>
    </row>
    <row r="2254" spans="1:10" x14ac:dyDescent="0.2">
      <c r="A2254" s="2" t="s">
        <v>10</v>
      </c>
      <c r="B2254" s="3" t="str">
        <f t="shared" si="45"/>
        <v>France - HCP Survey Email - June 2025</v>
      </c>
      <c r="C2254" s="3" t="str">
        <f>HYPERLINK("https://otsuka-europe-crm.veevavault.com/ui/#object/sent_email__v/VBLZ025E82GNOT8", "SE-000273923")</f>
        <v>SE-000273923</v>
      </c>
      <c r="D2254" s="4">
        <v>45916.294594907406</v>
      </c>
      <c r="E2254" s="5">
        <v>1</v>
      </c>
      <c r="F2254" s="5">
        <v>1</v>
      </c>
      <c r="G2254" s="5">
        <v>0</v>
      </c>
      <c r="H2254" s="4" t="s">
        <v>11</v>
      </c>
      <c r="I2254" s="5">
        <v>0</v>
      </c>
      <c r="J2254" s="4">
        <v>45916.294351851851</v>
      </c>
    </row>
    <row r="2255" spans="1:10" x14ac:dyDescent="0.2">
      <c r="A2255" s="2" t="s">
        <v>10</v>
      </c>
      <c r="B2255" s="3" t="str">
        <f t="shared" si="45"/>
        <v>France - HCP Survey Email - June 2025</v>
      </c>
      <c r="C2255" s="3" t="str">
        <f>HYPERLINK("https://otsuka-europe-crm.veevavault.com/ui/#object/sent_email__v/VBLZ025E82GNOT9", "SE-000273924")</f>
        <v>SE-000273924</v>
      </c>
      <c r="D2255" s="4" t="s">
        <v>11</v>
      </c>
      <c r="E2255" s="5">
        <v>0</v>
      </c>
      <c r="F2255" s="5">
        <v>0</v>
      </c>
      <c r="G2255" s="5">
        <v>0</v>
      </c>
      <c r="H2255" s="4" t="s">
        <v>11</v>
      </c>
      <c r="I2255" s="5">
        <v>0</v>
      </c>
      <c r="J2255" s="4">
        <v>45916.294247685182</v>
      </c>
    </row>
    <row r="2256" spans="1:10" x14ac:dyDescent="0.2">
      <c r="A2256" s="2" t="s">
        <v>10</v>
      </c>
      <c r="B2256" s="3" t="str">
        <f t="shared" si="45"/>
        <v>France - HCP Survey Email - June 2025</v>
      </c>
      <c r="C2256" s="3" t="str">
        <f>HYPERLINK("https://otsuka-europe-crm.veevavault.com/ui/#object/sent_email__v/VBLZ025E82GNOTA", "SE-000273925")</f>
        <v>SE-000273925</v>
      </c>
      <c r="D2256" s="4" t="s">
        <v>11</v>
      </c>
      <c r="E2256" s="5">
        <v>0</v>
      </c>
      <c r="F2256" s="5">
        <v>0</v>
      </c>
      <c r="G2256" s="5">
        <v>0</v>
      </c>
      <c r="H2256" s="4" t="s">
        <v>11</v>
      </c>
      <c r="I2256" s="5">
        <v>0</v>
      </c>
      <c r="J2256" s="4">
        <v>45916.29488425926</v>
      </c>
    </row>
    <row r="2257" spans="1:10" x14ac:dyDescent="0.2">
      <c r="A2257" s="2" t="s">
        <v>10</v>
      </c>
      <c r="B2257" s="3" t="str">
        <f t="shared" si="45"/>
        <v>France - HCP Survey Email - June 2025</v>
      </c>
      <c r="C2257" s="3" t="str">
        <f>HYPERLINK("https://otsuka-europe-crm.veevavault.com/ui/#object/sent_email__v/VBLZ025E82GNOTB", "SE-000273926")</f>
        <v>SE-000273926</v>
      </c>
      <c r="D2257" s="4" t="s">
        <v>11</v>
      </c>
      <c r="E2257" s="5">
        <v>0</v>
      </c>
      <c r="F2257" s="5">
        <v>0</v>
      </c>
      <c r="G2257" s="5">
        <v>0</v>
      </c>
      <c r="H2257" s="4" t="s">
        <v>11</v>
      </c>
      <c r="I2257" s="5">
        <v>0</v>
      </c>
      <c r="J2257" s="4">
        <v>45916.294537037036</v>
      </c>
    </row>
    <row r="2258" spans="1:10" x14ac:dyDescent="0.2">
      <c r="A2258" s="2" t="s">
        <v>10</v>
      </c>
      <c r="B2258" s="3" t="str">
        <f t="shared" si="45"/>
        <v>France - HCP Survey Email - June 2025</v>
      </c>
      <c r="C2258" s="3" t="str">
        <f>HYPERLINK("https://otsuka-europe-crm.veevavault.com/ui/#object/sent_email__v/VBLZ025E82GNOTC", "SE-000273927")</f>
        <v>SE-000273927</v>
      </c>
      <c r="D2258" s="4">
        <v>45916.294363425928</v>
      </c>
      <c r="E2258" s="5">
        <v>1</v>
      </c>
      <c r="F2258" s="5">
        <v>1</v>
      </c>
      <c r="G2258" s="5">
        <v>1</v>
      </c>
      <c r="H2258" s="4">
        <v>45916.294363425928</v>
      </c>
      <c r="I2258" s="5">
        <v>1</v>
      </c>
      <c r="J2258" s="4">
        <v>45916.294351851851</v>
      </c>
    </row>
    <row r="2259" spans="1:10" x14ac:dyDescent="0.2">
      <c r="A2259" s="2" t="s">
        <v>10</v>
      </c>
      <c r="B2259" s="3" t="str">
        <f t="shared" si="45"/>
        <v>France - HCP Survey Email - June 2025</v>
      </c>
      <c r="C2259" s="3" t="str">
        <f>HYPERLINK("https://otsuka-europe-crm.veevavault.com/ui/#object/sent_email__v/VBLZ025E82GNOTD", "SE-000273928")</f>
        <v>SE-000273928</v>
      </c>
      <c r="D2259" s="4" t="s">
        <v>11</v>
      </c>
      <c r="E2259" s="5">
        <v>0</v>
      </c>
      <c r="F2259" s="5">
        <v>0</v>
      </c>
      <c r="G2259" s="5">
        <v>0</v>
      </c>
      <c r="H2259" s="4" t="s">
        <v>11</v>
      </c>
      <c r="I2259" s="5">
        <v>0</v>
      </c>
      <c r="J2259" s="4">
        <v>45916.294907407406</v>
      </c>
    </row>
    <row r="2260" spans="1:10" x14ac:dyDescent="0.2">
      <c r="A2260" s="2" t="s">
        <v>10</v>
      </c>
      <c r="B2260" s="3" t="str">
        <f t="shared" si="45"/>
        <v>France - HCP Survey Email - June 2025</v>
      </c>
      <c r="C2260" s="3" t="str">
        <f>HYPERLINK("https://otsuka-europe-crm.veevavault.com/ui/#object/sent_email__v/VBLZ025E82GNOTE", "SE-000273929")</f>
        <v>SE-000273929</v>
      </c>
      <c r="D2260" s="4" t="s">
        <v>11</v>
      </c>
      <c r="E2260" s="5">
        <v>0</v>
      </c>
      <c r="F2260" s="5">
        <v>0</v>
      </c>
      <c r="G2260" s="5">
        <v>0</v>
      </c>
      <c r="H2260" s="4" t="s">
        <v>11</v>
      </c>
      <c r="I2260" s="5">
        <v>0</v>
      </c>
      <c r="J2260" s="4">
        <v>45916.294722222221</v>
      </c>
    </row>
    <row r="2261" spans="1:10" x14ac:dyDescent="0.2">
      <c r="A2261" s="2" t="s">
        <v>10</v>
      </c>
      <c r="B2261" s="3" t="str">
        <f t="shared" si="45"/>
        <v>France - HCP Survey Email - June 2025</v>
      </c>
      <c r="C2261" s="3" t="str">
        <f>HYPERLINK("https://otsuka-europe-crm.veevavault.com/ui/#object/sent_email__v/VBLZ025E82GNOTF", "SE-000273930")</f>
        <v>SE-000273930</v>
      </c>
      <c r="D2261" s="4" t="s">
        <v>11</v>
      </c>
      <c r="E2261" s="5">
        <v>0</v>
      </c>
      <c r="F2261" s="5">
        <v>0</v>
      </c>
      <c r="G2261" s="5">
        <v>0</v>
      </c>
      <c r="H2261" s="4" t="s">
        <v>11</v>
      </c>
      <c r="I2261" s="5">
        <v>0</v>
      </c>
      <c r="J2261" s="4">
        <v>45916.294444444444</v>
      </c>
    </row>
    <row r="2262" spans="1:10" x14ac:dyDescent="0.2">
      <c r="A2262" s="2" t="s">
        <v>10</v>
      </c>
      <c r="B2262" s="3" t="str">
        <f t="shared" si="45"/>
        <v>France - HCP Survey Email - June 2025</v>
      </c>
      <c r="C2262" s="3" t="str">
        <f>HYPERLINK("https://otsuka-europe-crm.veevavault.com/ui/#object/sent_email__v/VBLZ025E82GNOTG", "SE-000273931")</f>
        <v>SE-000273931</v>
      </c>
      <c r="D2262" s="4" t="s">
        <v>11</v>
      </c>
      <c r="E2262" s="5">
        <v>0</v>
      </c>
      <c r="F2262" s="5">
        <v>0</v>
      </c>
      <c r="G2262" s="5">
        <v>0</v>
      </c>
      <c r="H2262" s="4" t="s">
        <v>11</v>
      </c>
      <c r="I2262" s="5">
        <v>0</v>
      </c>
      <c r="J2262" s="4">
        <v>45916.294293981482</v>
      </c>
    </row>
    <row r="2263" spans="1:10" x14ac:dyDescent="0.2">
      <c r="A2263" s="2" t="s">
        <v>10</v>
      </c>
      <c r="B2263" s="3" t="str">
        <f t="shared" si="45"/>
        <v>France - HCP Survey Email - June 2025</v>
      </c>
      <c r="C2263" s="3" t="str">
        <f>HYPERLINK("https://otsuka-europe-crm.veevavault.com/ui/#object/sent_email__v/VBLZ025E82GNOTH", "SE-000273932")</f>
        <v>SE-000273932</v>
      </c>
      <c r="D2263" s="4" t="s">
        <v>11</v>
      </c>
      <c r="E2263" s="5">
        <v>0</v>
      </c>
      <c r="F2263" s="5">
        <v>0</v>
      </c>
      <c r="G2263" s="5">
        <v>0</v>
      </c>
      <c r="H2263" s="4" t="s">
        <v>11</v>
      </c>
      <c r="I2263" s="5">
        <v>0</v>
      </c>
      <c r="J2263" s="4">
        <v>45916.294930555552</v>
      </c>
    </row>
    <row r="2264" spans="1:10" x14ac:dyDescent="0.2">
      <c r="A2264" s="2" t="s">
        <v>10</v>
      </c>
      <c r="B2264" s="3" t="str">
        <f t="shared" si="45"/>
        <v>France - HCP Survey Email - June 2025</v>
      </c>
      <c r="C2264" s="3" t="str">
        <f>HYPERLINK("https://otsuka-europe-crm.veevavault.com/ui/#object/sent_email__v/VBLZ025E82GNOTI", "SE-000273933")</f>
        <v>SE-000273933</v>
      </c>
      <c r="D2264" s="4" t="s">
        <v>11</v>
      </c>
      <c r="E2264" s="5">
        <v>0</v>
      </c>
      <c r="F2264" s="5">
        <v>0</v>
      </c>
      <c r="G2264" s="5">
        <v>0</v>
      </c>
      <c r="H2264" s="4" t="s">
        <v>11</v>
      </c>
      <c r="I2264" s="5">
        <v>0</v>
      </c>
      <c r="J2264" s="4">
        <v>45916.294953703706</v>
      </c>
    </row>
    <row r="2265" spans="1:10" x14ac:dyDescent="0.2">
      <c r="A2265" s="2" t="s">
        <v>10</v>
      </c>
      <c r="B2265" s="3" t="str">
        <f t="shared" si="45"/>
        <v>France - HCP Survey Email - June 2025</v>
      </c>
      <c r="C2265" s="3" t="str">
        <f>HYPERLINK("https://otsuka-europe-crm.veevavault.com/ui/#object/sent_email__v/VBLZ025E82GNOTJ", "SE-000273934")</f>
        <v>SE-000273934</v>
      </c>
      <c r="D2265" s="4" t="s">
        <v>11</v>
      </c>
      <c r="E2265" s="5">
        <v>0</v>
      </c>
      <c r="F2265" s="5">
        <v>0</v>
      </c>
      <c r="G2265" s="5">
        <v>0</v>
      </c>
      <c r="H2265" s="4" t="s">
        <v>11</v>
      </c>
      <c r="I2265" s="5">
        <v>0</v>
      </c>
      <c r="J2265" s="4">
        <v>45916.294687499998</v>
      </c>
    </row>
    <row r="2266" spans="1:10" x14ac:dyDescent="0.2">
      <c r="A2266" s="2" t="s">
        <v>10</v>
      </c>
      <c r="B2266" s="3" t="str">
        <f t="shared" si="45"/>
        <v>France - HCP Survey Email - June 2025</v>
      </c>
      <c r="C2266" s="3" t="str">
        <f>HYPERLINK("https://otsuka-europe-crm.veevavault.com/ui/#object/sent_email__v/VBLZ025E82GNOTK", "SE-000273935")</f>
        <v>SE-000273935</v>
      </c>
      <c r="D2266" s="4" t="s">
        <v>11</v>
      </c>
      <c r="E2266" s="5">
        <v>0</v>
      </c>
      <c r="F2266" s="5">
        <v>0</v>
      </c>
      <c r="G2266" s="5">
        <v>0</v>
      </c>
      <c r="H2266" s="4" t="s">
        <v>11</v>
      </c>
      <c r="I2266" s="5">
        <v>0</v>
      </c>
      <c r="J2266" s="4">
        <v>45916.294490740744</v>
      </c>
    </row>
    <row r="2267" spans="1:10" x14ac:dyDescent="0.2">
      <c r="A2267" s="2" t="s">
        <v>10</v>
      </c>
      <c r="B2267" s="3" t="str">
        <f t="shared" si="45"/>
        <v>France - HCP Survey Email - June 2025</v>
      </c>
      <c r="C2267" s="3" t="str">
        <f>HYPERLINK("https://otsuka-europe-crm.veevavault.com/ui/#object/sent_email__v/VBLZ025E82GNOTM", "SE-000273937")</f>
        <v>SE-000273937</v>
      </c>
      <c r="D2267" s="4">
        <v>45916.435127314813</v>
      </c>
      <c r="E2267" s="5">
        <v>1</v>
      </c>
      <c r="F2267" s="5">
        <v>2</v>
      </c>
      <c r="G2267" s="5">
        <v>0</v>
      </c>
      <c r="H2267" s="4" t="s">
        <v>11</v>
      </c>
      <c r="I2267" s="5">
        <v>0</v>
      </c>
      <c r="J2267" s="4">
        <v>45916.294942129629</v>
      </c>
    </row>
    <row r="2268" spans="1:10" x14ac:dyDescent="0.2">
      <c r="A2268" s="2" t="s">
        <v>10</v>
      </c>
      <c r="B2268" s="3" t="str">
        <f t="shared" si="45"/>
        <v>France - HCP Survey Email - June 2025</v>
      </c>
      <c r="C2268" s="3" t="str">
        <f>HYPERLINK("https://otsuka-europe-crm.veevavault.com/ui/#object/sent_email__v/VBLZ025E82GNOTN", "SE-000273938")</f>
        <v>SE-000273938</v>
      </c>
      <c r="D2268" s="4">
        <v>45916.422511574077</v>
      </c>
      <c r="E2268" s="5">
        <v>1</v>
      </c>
      <c r="F2268" s="5">
        <v>1</v>
      </c>
      <c r="G2268" s="5">
        <v>0</v>
      </c>
      <c r="H2268" s="4" t="s">
        <v>11</v>
      </c>
      <c r="I2268" s="5">
        <v>0</v>
      </c>
      <c r="J2268" s="4">
        <v>45916.294583333336</v>
      </c>
    </row>
    <row r="2269" spans="1:10" x14ac:dyDescent="0.2">
      <c r="A2269" s="2" t="s">
        <v>10</v>
      </c>
      <c r="B2269" s="3" t="str">
        <f t="shared" si="45"/>
        <v>France - HCP Survey Email - June 2025</v>
      </c>
      <c r="C2269" s="3" t="str">
        <f>HYPERLINK("https://otsuka-europe-crm.veevavault.com/ui/#object/sent_email__v/VBLZ025E82GNOTO", "SE-000273939")</f>
        <v>SE-000273939</v>
      </c>
      <c r="D2269" s="4">
        <v>45932.386296296296</v>
      </c>
      <c r="E2269" s="5">
        <v>1</v>
      </c>
      <c r="F2269" s="5">
        <v>4</v>
      </c>
      <c r="G2269" s="5">
        <v>0</v>
      </c>
      <c r="H2269" s="4" t="s">
        <v>11</v>
      </c>
      <c r="I2269" s="5">
        <v>0</v>
      </c>
      <c r="J2269" s="4">
        <v>45916.294340277775</v>
      </c>
    </row>
    <row r="2270" spans="1:10" x14ac:dyDescent="0.2">
      <c r="A2270" s="2" t="s">
        <v>10</v>
      </c>
      <c r="B2270" s="3" t="str">
        <f t="shared" si="45"/>
        <v>France - HCP Survey Email - June 2025</v>
      </c>
      <c r="C2270" s="3" t="str">
        <f>HYPERLINK("https://otsuka-europe-crm.veevavault.com/ui/#object/sent_email__v/VBLZ025E82GNOTP", "SE-000273940")</f>
        <v>SE-000273940</v>
      </c>
      <c r="D2270" s="4" t="s">
        <v>11</v>
      </c>
      <c r="E2270" s="5">
        <v>0</v>
      </c>
      <c r="F2270" s="5">
        <v>0</v>
      </c>
      <c r="G2270" s="5">
        <v>0</v>
      </c>
      <c r="H2270" s="4" t="s">
        <v>11</v>
      </c>
      <c r="I2270" s="5">
        <v>0</v>
      </c>
      <c r="J2270" s="4">
        <v>45916.294189814813</v>
      </c>
    </row>
    <row r="2271" spans="1:10" x14ac:dyDescent="0.2">
      <c r="A2271" s="2" t="s">
        <v>10</v>
      </c>
      <c r="B2271" s="3" t="str">
        <f t="shared" si="45"/>
        <v>France - HCP Survey Email - June 2025</v>
      </c>
      <c r="C2271" s="3" t="str">
        <f>HYPERLINK("https://otsuka-europe-crm.veevavault.com/ui/#object/sent_email__v/VBLZ025E82GNOTQ", "SE-000273941")</f>
        <v>SE-000273941</v>
      </c>
      <c r="D2271" s="4" t="s">
        <v>11</v>
      </c>
      <c r="E2271" s="5">
        <v>0</v>
      </c>
      <c r="F2271" s="5">
        <v>0</v>
      </c>
      <c r="G2271" s="5">
        <v>0</v>
      </c>
      <c r="H2271" s="4" t="s">
        <v>11</v>
      </c>
      <c r="I2271" s="5">
        <v>0</v>
      </c>
      <c r="J2271" s="4">
        <v>45916.294814814813</v>
      </c>
    </row>
    <row r="2272" spans="1:10" x14ac:dyDescent="0.2">
      <c r="A2272" s="2" t="s">
        <v>10</v>
      </c>
      <c r="B2272" s="3" t="str">
        <f t="shared" si="45"/>
        <v>France - HCP Survey Email - June 2025</v>
      </c>
      <c r="C2272" s="3" t="str">
        <f>HYPERLINK("https://otsuka-europe-crm.veevavault.com/ui/#object/sent_email__v/VBLZ025E82GNOTR", "SE-000273942")</f>
        <v>SE-000273942</v>
      </c>
      <c r="D2272" s="4" t="s">
        <v>11</v>
      </c>
      <c r="E2272" s="5">
        <v>0</v>
      </c>
      <c r="F2272" s="5">
        <v>0</v>
      </c>
      <c r="G2272" s="5">
        <v>0</v>
      </c>
      <c r="H2272" s="4" t="s">
        <v>11</v>
      </c>
      <c r="I2272" s="5">
        <v>0</v>
      </c>
      <c r="J2272" s="4">
        <v>45916.294525462959</v>
      </c>
    </row>
    <row r="2273" spans="1:10" x14ac:dyDescent="0.2">
      <c r="A2273" s="2" t="s">
        <v>10</v>
      </c>
      <c r="B2273" s="3" t="str">
        <f t="shared" si="45"/>
        <v>France - HCP Survey Email - June 2025</v>
      </c>
      <c r="C2273" s="3" t="str">
        <f>HYPERLINK("https://otsuka-europe-crm.veevavault.com/ui/#object/sent_email__v/VBLZ025E82GNOTS", "SE-000273943")</f>
        <v>SE-000273943</v>
      </c>
      <c r="D2273" s="4">
        <v>45916.408958333333</v>
      </c>
      <c r="E2273" s="5">
        <v>1</v>
      </c>
      <c r="F2273" s="5">
        <v>2</v>
      </c>
      <c r="G2273" s="5">
        <v>0</v>
      </c>
      <c r="H2273" s="4" t="s">
        <v>11</v>
      </c>
      <c r="I2273" s="5">
        <v>0</v>
      </c>
      <c r="J2273" s="4">
        <v>45916.294351851851</v>
      </c>
    </row>
    <row r="2274" spans="1:10" x14ac:dyDescent="0.2">
      <c r="A2274" s="2" t="s">
        <v>10</v>
      </c>
      <c r="B2274" s="3" t="str">
        <f t="shared" si="45"/>
        <v>France - HCP Survey Email - June 2025</v>
      </c>
      <c r="C2274" s="3" t="str">
        <f>HYPERLINK("https://otsuka-europe-crm.veevavault.com/ui/#object/sent_email__v/VBLZ025E82GNOTT", "SE-000273944")</f>
        <v>SE-000273944</v>
      </c>
      <c r="D2274" s="4">
        <v>45916.463125000002</v>
      </c>
      <c r="E2274" s="5">
        <v>1</v>
      </c>
      <c r="F2274" s="5">
        <v>1</v>
      </c>
      <c r="G2274" s="5">
        <v>0</v>
      </c>
      <c r="H2274" s="4" t="s">
        <v>11</v>
      </c>
      <c r="I2274" s="5">
        <v>0</v>
      </c>
      <c r="J2274" s="4">
        <v>45916.294930555552</v>
      </c>
    </row>
    <row r="2275" spans="1:10" x14ac:dyDescent="0.2">
      <c r="A2275" s="2" t="s">
        <v>10</v>
      </c>
      <c r="B2275" s="3" t="str">
        <f t="shared" si="45"/>
        <v>France - HCP Survey Email - June 2025</v>
      </c>
      <c r="C2275" s="3" t="str">
        <f>HYPERLINK("https://otsuka-europe-crm.veevavault.com/ui/#object/sent_email__v/VBLZ025E82GNOTU", "SE-000273945")</f>
        <v>SE-000273945</v>
      </c>
      <c r="D2275" s="4">
        <v>45916.389016203706</v>
      </c>
      <c r="E2275" s="5">
        <v>1</v>
      </c>
      <c r="F2275" s="5">
        <v>2</v>
      </c>
      <c r="G2275" s="5">
        <v>1</v>
      </c>
      <c r="H2275" s="4">
        <v>45916.294999999998</v>
      </c>
      <c r="I2275" s="5">
        <v>1</v>
      </c>
      <c r="J2275" s="4">
        <v>45916.294675925928</v>
      </c>
    </row>
    <row r="2276" spans="1:10" x14ac:dyDescent="0.2">
      <c r="A2276" s="2" t="s">
        <v>10</v>
      </c>
      <c r="B2276" s="3" t="str">
        <f t="shared" si="45"/>
        <v>France - HCP Survey Email - June 2025</v>
      </c>
      <c r="C2276" s="3" t="str">
        <f>HYPERLINK("https://otsuka-europe-crm.veevavault.com/ui/#object/sent_email__v/VBLZ025E82GNOTV", "SE-000273946")</f>
        <v>SE-000273946</v>
      </c>
      <c r="D2276" s="4" t="s">
        <v>11</v>
      </c>
      <c r="E2276" s="5">
        <v>0</v>
      </c>
      <c r="F2276" s="5">
        <v>0</v>
      </c>
      <c r="G2276" s="5">
        <v>0</v>
      </c>
      <c r="H2276" s="4" t="s">
        <v>11</v>
      </c>
      <c r="I2276" s="5">
        <v>0</v>
      </c>
      <c r="J2276" s="4">
        <v>45916.294479166667</v>
      </c>
    </row>
    <row r="2277" spans="1:10" x14ac:dyDescent="0.2">
      <c r="A2277" s="2" t="s">
        <v>10</v>
      </c>
      <c r="B2277" s="3" t="str">
        <f t="shared" si="45"/>
        <v>France - HCP Survey Email - June 2025</v>
      </c>
      <c r="C2277" s="3" t="str">
        <f>HYPERLINK("https://otsuka-europe-crm.veevavault.com/ui/#object/sent_email__v/VBLZ025E82GNOTW", "SE-000273947")</f>
        <v>SE-000273947</v>
      </c>
      <c r="D2277" s="4" t="s">
        <v>11</v>
      </c>
      <c r="E2277" s="5">
        <v>0</v>
      </c>
      <c r="F2277" s="5">
        <v>0</v>
      </c>
      <c r="G2277" s="5">
        <v>0</v>
      </c>
      <c r="H2277" s="4" t="s">
        <v>11</v>
      </c>
      <c r="I2277" s="5">
        <v>0</v>
      </c>
      <c r="J2277" s="4">
        <v>45916.294259259259</v>
      </c>
    </row>
    <row r="2278" spans="1:10" x14ac:dyDescent="0.2">
      <c r="A2278" s="2" t="s">
        <v>10</v>
      </c>
      <c r="B2278" s="3" t="str">
        <f t="shared" si="45"/>
        <v>France - HCP Survey Email - June 2025</v>
      </c>
      <c r="C2278" s="3" t="str">
        <f>HYPERLINK("https://otsuka-europe-crm.veevavault.com/ui/#object/sent_email__v/VBLZ025E82GNOTX", "SE-000273948")</f>
        <v>SE-000273948</v>
      </c>
      <c r="D2278" s="4" t="s">
        <v>11</v>
      </c>
      <c r="E2278" s="5">
        <v>0</v>
      </c>
      <c r="F2278" s="5">
        <v>0</v>
      </c>
      <c r="G2278" s="5">
        <v>0</v>
      </c>
      <c r="H2278" s="4" t="s">
        <v>11</v>
      </c>
      <c r="I2278" s="5">
        <v>0</v>
      </c>
      <c r="J2278" s="4">
        <v>45916.29483796296</v>
      </c>
    </row>
    <row r="2279" spans="1:10" x14ac:dyDescent="0.2">
      <c r="A2279" s="2" t="s">
        <v>10</v>
      </c>
      <c r="B2279" s="3" t="str">
        <f t="shared" si="45"/>
        <v>France - HCP Survey Email - June 2025</v>
      </c>
      <c r="C2279" s="3" t="str">
        <f>HYPERLINK("https://otsuka-europe-crm.veevavault.com/ui/#object/sent_email__v/VBLZ025E82GNOTY", "SE-000273949")</f>
        <v>SE-000273949</v>
      </c>
      <c r="D2279" s="4" t="s">
        <v>11</v>
      </c>
      <c r="E2279" s="5">
        <v>0</v>
      </c>
      <c r="F2279" s="5">
        <v>0</v>
      </c>
      <c r="G2279" s="5">
        <v>0</v>
      </c>
      <c r="H2279" s="4" t="s">
        <v>11</v>
      </c>
      <c r="I2279" s="5">
        <v>0</v>
      </c>
      <c r="J2279" s="4">
        <v>45916.294618055559</v>
      </c>
    </row>
    <row r="2280" spans="1:10" x14ac:dyDescent="0.2">
      <c r="A2280" s="2" t="s">
        <v>10</v>
      </c>
      <c r="B2280" s="3" t="str">
        <f t="shared" si="45"/>
        <v>France - HCP Survey Email - June 2025</v>
      </c>
      <c r="C2280" s="3" t="str">
        <f>HYPERLINK("https://otsuka-europe-crm.veevavault.com/ui/#object/sent_email__v/VBLZ025E82GNOTZ", "SE-000273950")</f>
        <v>SE-000273950</v>
      </c>
      <c r="D2280" s="4">
        <v>45916.300821759258</v>
      </c>
      <c r="E2280" s="5">
        <v>1</v>
      </c>
      <c r="F2280" s="5">
        <v>1</v>
      </c>
      <c r="G2280" s="5">
        <v>0</v>
      </c>
      <c r="H2280" s="4" t="s">
        <v>11</v>
      </c>
      <c r="I2280" s="5">
        <v>0</v>
      </c>
      <c r="J2280" s="4">
        <v>45916.294363425928</v>
      </c>
    </row>
    <row r="2281" spans="1:10" x14ac:dyDescent="0.2">
      <c r="A2281" s="2" t="s">
        <v>10</v>
      </c>
      <c r="B2281" s="3" t="str">
        <f t="shared" si="45"/>
        <v>France - HCP Survey Email - June 2025</v>
      </c>
      <c r="C2281" s="3" t="str">
        <f>HYPERLINK("https://otsuka-europe-crm.veevavault.com/ui/#object/sent_email__v/VBLZ025E82GNOU0", "SE-000273951")</f>
        <v>SE-000273951</v>
      </c>
      <c r="D2281" s="4">
        <v>45917.716296296298</v>
      </c>
      <c r="E2281" s="5">
        <v>1</v>
      </c>
      <c r="F2281" s="5">
        <v>3</v>
      </c>
      <c r="G2281" s="5">
        <v>0</v>
      </c>
      <c r="H2281" s="4" t="s">
        <v>11</v>
      </c>
      <c r="I2281" s="5">
        <v>0</v>
      </c>
      <c r="J2281" s="4">
        <v>45916.294189814813</v>
      </c>
    </row>
    <row r="2282" spans="1:10" x14ac:dyDescent="0.2">
      <c r="A2282" s="2" t="s">
        <v>10</v>
      </c>
      <c r="B2282" s="3" t="str">
        <f t="shared" si="45"/>
        <v>France - HCP Survey Email - June 2025</v>
      </c>
      <c r="C2282" s="3" t="str">
        <f>HYPERLINK("https://otsuka-europe-crm.veevavault.com/ui/#object/sent_email__v/VBLZ025E82GNOU1", "SE-000273952")</f>
        <v>SE-000273952</v>
      </c>
      <c r="D2282" s="4" t="s">
        <v>11</v>
      </c>
      <c r="E2282" s="5">
        <v>0</v>
      </c>
      <c r="F2282" s="5">
        <v>0</v>
      </c>
      <c r="G2282" s="5">
        <v>0</v>
      </c>
      <c r="H2282" s="4" t="s">
        <v>11</v>
      </c>
      <c r="I2282" s="5">
        <v>0</v>
      </c>
      <c r="J2282" s="4">
        <v>45916.294872685183</v>
      </c>
    </row>
    <row r="2283" spans="1:10" x14ac:dyDescent="0.2">
      <c r="A2283" s="2" t="s">
        <v>10</v>
      </c>
      <c r="B2283" s="3" t="str">
        <f t="shared" si="45"/>
        <v>France - HCP Survey Email - June 2025</v>
      </c>
      <c r="C2283" s="3" t="str">
        <f>HYPERLINK("https://otsuka-europe-crm.veevavault.com/ui/#object/sent_email__v/VBLZ025E82GNOU2", "SE-000273953")</f>
        <v>SE-000273953</v>
      </c>
      <c r="D2283" s="4" t="s">
        <v>11</v>
      </c>
      <c r="E2283" s="5">
        <v>0</v>
      </c>
      <c r="F2283" s="5">
        <v>0</v>
      </c>
      <c r="G2283" s="5">
        <v>0</v>
      </c>
      <c r="H2283" s="4" t="s">
        <v>11</v>
      </c>
      <c r="I2283" s="5">
        <v>0</v>
      </c>
      <c r="J2283" s="4">
        <v>45916.294548611113</v>
      </c>
    </row>
    <row r="2284" spans="1:10" x14ac:dyDescent="0.2">
      <c r="A2284" s="2" t="s">
        <v>10</v>
      </c>
      <c r="B2284" s="3" t="str">
        <f t="shared" si="45"/>
        <v>France - HCP Survey Email - June 2025</v>
      </c>
      <c r="C2284" s="3" t="str">
        <f>HYPERLINK("https://otsuka-europe-crm.veevavault.com/ui/#object/sent_email__v/VBLZ025E82GNOU3", "SE-000273954")</f>
        <v>SE-000273954</v>
      </c>
      <c r="D2284" s="4" t="s">
        <v>11</v>
      </c>
      <c r="E2284" s="5">
        <v>0</v>
      </c>
      <c r="F2284" s="5">
        <v>0</v>
      </c>
      <c r="G2284" s="5">
        <v>0</v>
      </c>
      <c r="H2284" s="4" t="s">
        <v>11</v>
      </c>
      <c r="I2284" s="5">
        <v>0</v>
      </c>
      <c r="J2284" s="4">
        <v>45916.294247685182</v>
      </c>
    </row>
    <row r="2285" spans="1:10" x14ac:dyDescent="0.2">
      <c r="A2285" s="2" t="s">
        <v>10</v>
      </c>
      <c r="B2285" s="3" t="str">
        <f t="shared" si="45"/>
        <v>France - HCP Survey Email - June 2025</v>
      </c>
      <c r="C2285" s="3" t="str">
        <f>HYPERLINK("https://otsuka-europe-crm.veevavault.com/ui/#object/sent_email__v/VBLZ025E82GNOU4", "SE-000273955")</f>
        <v>SE-000273955</v>
      </c>
      <c r="D2285" s="4" t="s">
        <v>11</v>
      </c>
      <c r="E2285" s="5">
        <v>0</v>
      </c>
      <c r="F2285" s="5">
        <v>0</v>
      </c>
      <c r="G2285" s="5">
        <v>0</v>
      </c>
      <c r="H2285" s="4" t="s">
        <v>11</v>
      </c>
      <c r="I2285" s="5">
        <v>0</v>
      </c>
      <c r="J2285" s="4">
        <v>45916.29488425926</v>
      </c>
    </row>
    <row r="2286" spans="1:10" x14ac:dyDescent="0.2">
      <c r="A2286" s="2" t="s">
        <v>10</v>
      </c>
      <c r="B2286" s="3" t="str">
        <f t="shared" si="45"/>
        <v>France - HCP Survey Email - June 2025</v>
      </c>
      <c r="C2286" s="3" t="str">
        <f>HYPERLINK("https://otsuka-europe-crm.veevavault.com/ui/#object/sent_email__v/VBLZ025E82GNOU5", "SE-000273956")</f>
        <v>SE-000273956</v>
      </c>
      <c r="D2286" s="4" t="s">
        <v>11</v>
      </c>
      <c r="E2286" s="5">
        <v>0</v>
      </c>
      <c r="F2286" s="5">
        <v>0</v>
      </c>
      <c r="G2286" s="5">
        <v>0</v>
      </c>
      <c r="H2286" s="4" t="s">
        <v>11</v>
      </c>
      <c r="I2286" s="5">
        <v>0</v>
      </c>
      <c r="J2286" s="4">
        <v>45916.294699074075</v>
      </c>
    </row>
    <row r="2287" spans="1:10" x14ac:dyDescent="0.2">
      <c r="A2287" s="2" t="s">
        <v>10</v>
      </c>
      <c r="B2287" s="3" t="str">
        <f t="shared" si="45"/>
        <v>France - HCP Survey Email - June 2025</v>
      </c>
      <c r="C2287" s="3" t="str">
        <f>HYPERLINK("https://otsuka-europe-crm.veevavault.com/ui/#object/sent_email__v/VBLZ025E82GNOU6", "SE-000273957")</f>
        <v>SE-000273957</v>
      </c>
      <c r="D2287" s="4" t="s">
        <v>11</v>
      </c>
      <c r="E2287" s="5">
        <v>0</v>
      </c>
      <c r="F2287" s="5">
        <v>0</v>
      </c>
      <c r="G2287" s="5">
        <v>0</v>
      </c>
      <c r="H2287" s="4" t="s">
        <v>11</v>
      </c>
      <c r="I2287" s="5">
        <v>0</v>
      </c>
      <c r="J2287" s="4">
        <v>45916.294479166667</v>
      </c>
    </row>
    <row r="2288" spans="1:10" x14ac:dyDescent="0.2">
      <c r="A2288" s="2" t="s">
        <v>10</v>
      </c>
      <c r="B2288" s="3" t="str">
        <f t="shared" si="45"/>
        <v>France - HCP Survey Email - June 2025</v>
      </c>
      <c r="C2288" s="3" t="str">
        <f>HYPERLINK("https://otsuka-europe-crm.veevavault.com/ui/#object/sent_email__v/VBLZ025E82GNOU7", "SE-000273958")</f>
        <v>SE-000273958</v>
      </c>
      <c r="D2288" s="4" t="s">
        <v>11</v>
      </c>
      <c r="E2288" s="5">
        <v>0</v>
      </c>
      <c r="F2288" s="5">
        <v>0</v>
      </c>
      <c r="G2288" s="5">
        <v>0</v>
      </c>
      <c r="H2288" s="4" t="s">
        <v>11</v>
      </c>
      <c r="I2288" s="5">
        <v>0</v>
      </c>
      <c r="J2288" s="4">
        <v>45916.294236111113</v>
      </c>
    </row>
    <row r="2289" spans="1:10" x14ac:dyDescent="0.2">
      <c r="A2289" s="2" t="s">
        <v>10</v>
      </c>
      <c r="B2289" s="3" t="str">
        <f t="shared" si="45"/>
        <v>France - HCP Survey Email - June 2025</v>
      </c>
      <c r="C2289" s="3" t="str">
        <f>HYPERLINK("https://otsuka-europe-crm.veevavault.com/ui/#object/sent_email__v/VBLZ025E82GNOU9", "SE-000273960")</f>
        <v>SE-000273960</v>
      </c>
      <c r="D2289" s="4">
        <v>45947.567060185182</v>
      </c>
      <c r="E2289" s="5">
        <v>1</v>
      </c>
      <c r="F2289" s="5">
        <v>2</v>
      </c>
      <c r="G2289" s="5">
        <v>0</v>
      </c>
      <c r="H2289" s="4" t="s">
        <v>11</v>
      </c>
      <c r="I2289" s="5">
        <v>0</v>
      </c>
      <c r="J2289" s="4">
        <v>45916.294699074075</v>
      </c>
    </row>
    <row r="2290" spans="1:10" x14ac:dyDescent="0.2">
      <c r="A2290" s="2" t="s">
        <v>10</v>
      </c>
      <c r="B2290" s="3" t="str">
        <f t="shared" si="45"/>
        <v>France - HCP Survey Email - June 2025</v>
      </c>
      <c r="C2290" s="3" t="str">
        <f>HYPERLINK("https://otsuka-europe-crm.veevavault.com/ui/#object/sent_email__v/VBLZ025E82GNOUA", "SE-000273961")</f>
        <v>SE-000273961</v>
      </c>
      <c r="D2290" s="4">
        <v>45916.29488425926</v>
      </c>
      <c r="E2290" s="5">
        <v>1</v>
      </c>
      <c r="F2290" s="5">
        <v>2</v>
      </c>
      <c r="G2290" s="5">
        <v>1</v>
      </c>
      <c r="H2290" s="4">
        <v>45916.29488425926</v>
      </c>
      <c r="I2290" s="5">
        <v>2</v>
      </c>
      <c r="J2290" s="4">
        <v>45916.294351851851</v>
      </c>
    </row>
    <row r="2291" spans="1:10" x14ac:dyDescent="0.2">
      <c r="A2291" s="2" t="s">
        <v>10</v>
      </c>
      <c r="B2291" s="3" t="str">
        <f t="shared" si="45"/>
        <v>France - HCP Survey Email - June 2025</v>
      </c>
      <c r="C2291" s="3" t="str">
        <f>HYPERLINK("https://otsuka-europe-crm.veevavault.com/ui/#object/sent_email__v/VBLZ025E82GNOUB", "SE-000273962")</f>
        <v>SE-000273962</v>
      </c>
      <c r="D2291" s="4" t="s">
        <v>11</v>
      </c>
      <c r="E2291" s="5">
        <v>0</v>
      </c>
      <c r="F2291" s="5">
        <v>0</v>
      </c>
      <c r="G2291" s="5">
        <v>0</v>
      </c>
      <c r="H2291" s="4" t="s">
        <v>11</v>
      </c>
      <c r="I2291" s="5">
        <v>0</v>
      </c>
      <c r="J2291" s="4">
        <v>45916.29420138889</v>
      </c>
    </row>
    <row r="2292" spans="1:10" x14ac:dyDescent="0.2">
      <c r="A2292" s="2" t="s">
        <v>10</v>
      </c>
      <c r="B2292" s="3" t="str">
        <f t="shared" si="45"/>
        <v>France - HCP Survey Email - June 2025</v>
      </c>
      <c r="C2292" s="3" t="str">
        <f>HYPERLINK("https://otsuka-europe-crm.veevavault.com/ui/#object/sent_email__v/VBLZ025E82GNOUC", "SE-000273963")</f>
        <v>SE-000273963</v>
      </c>
      <c r="D2292" s="4" t="s">
        <v>11</v>
      </c>
      <c r="E2292" s="5">
        <v>0</v>
      </c>
      <c r="F2292" s="5">
        <v>0</v>
      </c>
      <c r="G2292" s="5">
        <v>0</v>
      </c>
      <c r="H2292" s="4" t="s">
        <v>11</v>
      </c>
      <c r="I2292" s="5">
        <v>0</v>
      </c>
      <c r="J2292" s="4">
        <v>45916.294768518521</v>
      </c>
    </row>
    <row r="2293" spans="1:10" x14ac:dyDescent="0.2">
      <c r="A2293" s="2" t="s">
        <v>10</v>
      </c>
      <c r="B2293" s="3" t="str">
        <f t="shared" si="45"/>
        <v>France - HCP Survey Email - June 2025</v>
      </c>
      <c r="C2293" s="3" t="str">
        <f>HYPERLINK("https://otsuka-europe-crm.veevavault.com/ui/#object/sent_email__v/VBLZ025E82GNOUD", "SE-000273964")</f>
        <v>SE-000273964</v>
      </c>
      <c r="D2293" s="4" t="s">
        <v>11</v>
      </c>
      <c r="E2293" s="5">
        <v>0</v>
      </c>
      <c r="F2293" s="5">
        <v>0</v>
      </c>
      <c r="G2293" s="5">
        <v>0</v>
      </c>
      <c r="H2293" s="4" t="s">
        <v>11</v>
      </c>
      <c r="I2293" s="5">
        <v>0</v>
      </c>
      <c r="J2293" s="4">
        <v>45916.294548611113</v>
      </c>
    </row>
    <row r="2294" spans="1:10" x14ac:dyDescent="0.2">
      <c r="A2294" s="2" t="s">
        <v>10</v>
      </c>
      <c r="B2294" s="3" t="str">
        <f t="shared" si="45"/>
        <v>France - HCP Survey Email - June 2025</v>
      </c>
      <c r="C2294" s="3" t="str">
        <f>HYPERLINK("https://otsuka-europe-crm.veevavault.com/ui/#object/sent_email__v/VBLZ025E82GNOUE", "SE-000273965")</f>
        <v>SE-000273965</v>
      </c>
      <c r="D2294" s="4" t="s">
        <v>11</v>
      </c>
      <c r="E2294" s="5">
        <v>0</v>
      </c>
      <c r="F2294" s="5">
        <v>0</v>
      </c>
      <c r="G2294" s="5">
        <v>0</v>
      </c>
      <c r="H2294" s="4" t="s">
        <v>11</v>
      </c>
      <c r="I2294" s="5">
        <v>0</v>
      </c>
      <c r="J2294" s="4">
        <v>45916.294374999998</v>
      </c>
    </row>
    <row r="2295" spans="1:10" x14ac:dyDescent="0.2">
      <c r="A2295" s="2" t="s">
        <v>10</v>
      </c>
      <c r="B2295" s="3" t="str">
        <f t="shared" si="45"/>
        <v>France - HCP Survey Email - June 2025</v>
      </c>
      <c r="C2295" s="3" t="str">
        <f>HYPERLINK("https://otsuka-europe-crm.veevavault.com/ui/#object/sent_email__v/VBLZ025E82GNOUF", "SE-000273966")</f>
        <v>SE-000273966</v>
      </c>
      <c r="D2295" s="4" t="s">
        <v>11</v>
      </c>
      <c r="E2295" s="5">
        <v>0</v>
      </c>
      <c r="F2295" s="5">
        <v>0</v>
      </c>
      <c r="G2295" s="5">
        <v>0</v>
      </c>
      <c r="H2295" s="4" t="s">
        <v>11</v>
      </c>
      <c r="I2295" s="5">
        <v>0</v>
      </c>
      <c r="J2295" s="4">
        <v>45916.294918981483</v>
      </c>
    </row>
    <row r="2296" spans="1:10" x14ac:dyDescent="0.2">
      <c r="A2296" s="2" t="s">
        <v>10</v>
      </c>
      <c r="B2296" s="3" t="str">
        <f t="shared" si="45"/>
        <v>France - HCP Survey Email - June 2025</v>
      </c>
      <c r="C2296" s="3" t="str">
        <f>HYPERLINK("https://otsuka-europe-crm.veevavault.com/ui/#object/sent_email__v/VBLZ025E82GNOUG", "SE-000273967")</f>
        <v>SE-000273967</v>
      </c>
      <c r="D2296" s="4" t="s">
        <v>11</v>
      </c>
      <c r="E2296" s="5">
        <v>0</v>
      </c>
      <c r="F2296" s="5">
        <v>0</v>
      </c>
      <c r="G2296" s="5">
        <v>0</v>
      </c>
      <c r="H2296" s="4" t="s">
        <v>11</v>
      </c>
      <c r="I2296" s="5">
        <v>0</v>
      </c>
      <c r="J2296" s="4">
        <v>45916.294664351852</v>
      </c>
    </row>
    <row r="2297" spans="1:10" x14ac:dyDescent="0.2">
      <c r="A2297" s="2" t="s">
        <v>10</v>
      </c>
      <c r="B2297" s="3" t="str">
        <f t="shared" si="45"/>
        <v>France - HCP Survey Email - June 2025</v>
      </c>
      <c r="C2297" s="3" t="str">
        <f>HYPERLINK("https://otsuka-europe-crm.veevavault.com/ui/#object/sent_email__v/VBLZ025E82GNOUI", "SE-000273969")</f>
        <v>SE-000273969</v>
      </c>
      <c r="D2297" s="4" t="s">
        <v>11</v>
      </c>
      <c r="E2297" s="5">
        <v>0</v>
      </c>
      <c r="F2297" s="5">
        <v>0</v>
      </c>
      <c r="G2297" s="5">
        <v>0</v>
      </c>
      <c r="H2297" s="4" t="s">
        <v>11</v>
      </c>
      <c r="I2297" s="5">
        <v>0</v>
      </c>
      <c r="J2297" s="4">
        <v>45916.294374999998</v>
      </c>
    </row>
    <row r="2298" spans="1:10" x14ac:dyDescent="0.2">
      <c r="A2298" s="2" t="s">
        <v>10</v>
      </c>
      <c r="B2298" s="3" t="str">
        <f t="shared" si="45"/>
        <v>France - HCP Survey Email - June 2025</v>
      </c>
      <c r="C2298" s="3" t="str">
        <f>HYPERLINK("https://otsuka-europe-crm.veevavault.com/ui/#object/sent_email__v/VBLZ025E82GNOUJ", "SE-000273970")</f>
        <v>SE-000273970</v>
      </c>
      <c r="D2298" s="4" t="s">
        <v>11</v>
      </c>
      <c r="E2298" s="5">
        <v>0</v>
      </c>
      <c r="F2298" s="5">
        <v>0</v>
      </c>
      <c r="G2298" s="5">
        <v>0</v>
      </c>
      <c r="H2298" s="4" t="s">
        <v>11</v>
      </c>
      <c r="I2298" s="5">
        <v>0</v>
      </c>
      <c r="J2298" s="4">
        <v>45916.294907407406</v>
      </c>
    </row>
    <row r="2299" spans="1:10" x14ac:dyDescent="0.2">
      <c r="A2299" s="2" t="s">
        <v>10</v>
      </c>
      <c r="B2299" s="3" t="str">
        <f t="shared" si="45"/>
        <v>France - HCP Survey Email - June 2025</v>
      </c>
      <c r="C2299" s="3" t="str">
        <f>HYPERLINK("https://otsuka-europe-crm.veevavault.com/ui/#object/sent_email__v/VBLZ025E82GNOUK", "SE-000273971")</f>
        <v>SE-000273971</v>
      </c>
      <c r="D2299" s="4" t="s">
        <v>11</v>
      </c>
      <c r="E2299" s="5">
        <v>0</v>
      </c>
      <c r="F2299" s="5">
        <v>0</v>
      </c>
      <c r="G2299" s="5">
        <v>0</v>
      </c>
      <c r="H2299" s="4" t="s">
        <v>11</v>
      </c>
      <c r="I2299" s="5">
        <v>0</v>
      </c>
      <c r="J2299" s="4">
        <v>45916.294722222221</v>
      </c>
    </row>
    <row r="2300" spans="1:10" x14ac:dyDescent="0.2">
      <c r="A2300" s="2" t="s">
        <v>10</v>
      </c>
      <c r="B2300" s="3" t="str">
        <f t="shared" si="45"/>
        <v>France - HCP Survey Email - June 2025</v>
      </c>
      <c r="C2300" s="3" t="str">
        <f>HYPERLINK("https://otsuka-europe-crm.veevavault.com/ui/#object/sent_email__v/VBLZ025E82GNOUL", "SE-000273972")</f>
        <v>SE-000273972</v>
      </c>
      <c r="D2300" s="4" t="s">
        <v>11</v>
      </c>
      <c r="E2300" s="5">
        <v>0</v>
      </c>
      <c r="F2300" s="5">
        <v>0</v>
      </c>
      <c r="G2300" s="5">
        <v>0</v>
      </c>
      <c r="H2300" s="4" t="s">
        <v>11</v>
      </c>
      <c r="I2300" s="5">
        <v>0</v>
      </c>
      <c r="J2300" s="4">
        <v>45916.294456018521</v>
      </c>
    </row>
    <row r="2301" spans="1:10" x14ac:dyDescent="0.2">
      <c r="A2301" s="2" t="s">
        <v>10</v>
      </c>
      <c r="B2301" s="3" t="str">
        <f t="shared" si="45"/>
        <v>France - HCP Survey Email - June 2025</v>
      </c>
      <c r="C2301" s="3" t="str">
        <f>HYPERLINK("https://otsuka-europe-crm.veevavault.com/ui/#object/sent_email__v/VBLZ025E82GNOUM", "SE-000273973")</f>
        <v>SE-000273973</v>
      </c>
      <c r="D2301" s="4" t="s">
        <v>11</v>
      </c>
      <c r="E2301" s="5">
        <v>0</v>
      </c>
      <c r="F2301" s="5">
        <v>0</v>
      </c>
      <c r="G2301" s="5">
        <v>0</v>
      </c>
      <c r="H2301" s="4" t="s">
        <v>11</v>
      </c>
      <c r="I2301" s="5">
        <v>0</v>
      </c>
      <c r="J2301" s="4">
        <v>45916.294259259259</v>
      </c>
    </row>
    <row r="2302" spans="1:10" x14ac:dyDescent="0.2">
      <c r="A2302" s="2" t="s">
        <v>10</v>
      </c>
      <c r="B2302" s="3" t="str">
        <f t="shared" si="45"/>
        <v>France - HCP Survey Email - June 2025</v>
      </c>
      <c r="C2302" s="3" t="str">
        <f>HYPERLINK("https://otsuka-europe-crm.veevavault.com/ui/#object/sent_email__v/VBLZ025E82GNOUN", "SE-000273974")</f>
        <v>SE-000273974</v>
      </c>
      <c r="D2302" s="4">
        <v>45924.783333333333</v>
      </c>
      <c r="E2302" s="5">
        <v>1</v>
      </c>
      <c r="F2302" s="5">
        <v>2</v>
      </c>
      <c r="G2302" s="5">
        <v>0</v>
      </c>
      <c r="H2302" s="4" t="s">
        <v>11</v>
      </c>
      <c r="I2302" s="5">
        <v>0</v>
      </c>
      <c r="J2302" s="4">
        <v>45916.294930555552</v>
      </c>
    </row>
    <row r="2303" spans="1:10" x14ac:dyDescent="0.2">
      <c r="A2303" s="2" t="s">
        <v>10</v>
      </c>
      <c r="B2303" s="3" t="str">
        <f t="shared" si="45"/>
        <v>France - HCP Survey Email - June 2025</v>
      </c>
      <c r="C2303" s="3" t="str">
        <f>HYPERLINK("https://otsuka-europe-crm.veevavault.com/ui/#object/sent_email__v/VBLZ025E82GNOUO", "SE-000273975")</f>
        <v>SE-000273975</v>
      </c>
      <c r="D2303" s="4">
        <v>45916.908738425926</v>
      </c>
      <c r="E2303" s="5">
        <v>1</v>
      </c>
      <c r="F2303" s="5">
        <v>3</v>
      </c>
      <c r="G2303" s="5">
        <v>1</v>
      </c>
      <c r="H2303" s="4">
        <v>45916.908750000002</v>
      </c>
      <c r="I2303" s="5">
        <v>2</v>
      </c>
      <c r="J2303" s="4">
        <v>45916.294606481482</v>
      </c>
    </row>
    <row r="2304" spans="1:10" x14ac:dyDescent="0.2">
      <c r="A2304" s="2" t="s">
        <v>10</v>
      </c>
      <c r="B2304" s="3" t="str">
        <f t="shared" si="45"/>
        <v>France - HCP Survey Email - June 2025</v>
      </c>
      <c r="C2304" s="3" t="str">
        <f>HYPERLINK("https://otsuka-europe-crm.veevavault.com/ui/#object/sent_email__v/VBLZ025E82GNOUQ", "SE-000273977")</f>
        <v>SE-000273977</v>
      </c>
      <c r="D2304" s="4" t="s">
        <v>11</v>
      </c>
      <c r="E2304" s="5">
        <v>0</v>
      </c>
      <c r="F2304" s="5">
        <v>0</v>
      </c>
      <c r="G2304" s="5">
        <v>0</v>
      </c>
      <c r="H2304" s="4" t="s">
        <v>11</v>
      </c>
      <c r="I2304" s="5">
        <v>0</v>
      </c>
      <c r="J2304" s="4">
        <v>45916.294259259259</v>
      </c>
    </row>
    <row r="2305" spans="1:10" x14ac:dyDescent="0.2">
      <c r="A2305" s="2" t="s">
        <v>10</v>
      </c>
      <c r="B2305" s="3" t="str">
        <f t="shared" ref="B2305:B2368" si="46">HYPERLINK("https://otsuka-europe-crm.veevavault.com/ui/#object/approved_document__v/V5OZ025E82TMV97", "France - HCP Survey Email - June 2025")</f>
        <v>France - HCP Survey Email - June 2025</v>
      </c>
      <c r="C2305" s="3" t="str">
        <f>HYPERLINK("https://otsuka-europe-crm.veevavault.com/ui/#object/sent_email__v/VBLZ025E82GNOUR", "SE-000273978")</f>
        <v>SE-000273978</v>
      </c>
      <c r="D2305" s="4" t="s">
        <v>11</v>
      </c>
      <c r="E2305" s="5">
        <v>0</v>
      </c>
      <c r="F2305" s="5">
        <v>0</v>
      </c>
      <c r="G2305" s="5">
        <v>0</v>
      </c>
      <c r="H2305" s="4" t="s">
        <v>11</v>
      </c>
      <c r="I2305" s="5">
        <v>0</v>
      </c>
      <c r="J2305" s="4">
        <v>45916.29478009259</v>
      </c>
    </row>
    <row r="2306" spans="1:10" x14ac:dyDescent="0.2">
      <c r="A2306" s="2" t="s">
        <v>10</v>
      </c>
      <c r="B2306" s="3" t="str">
        <f t="shared" si="46"/>
        <v>France - HCP Survey Email - June 2025</v>
      </c>
      <c r="C2306" s="3" t="str">
        <f>HYPERLINK("https://otsuka-europe-crm.veevavault.com/ui/#object/sent_email__v/VBLZ025E82GNOUS", "SE-000273979")</f>
        <v>SE-000273979</v>
      </c>
      <c r="D2306" s="4" t="s">
        <v>11</v>
      </c>
      <c r="E2306" s="5">
        <v>0</v>
      </c>
      <c r="F2306" s="5">
        <v>0</v>
      </c>
      <c r="G2306" s="5">
        <v>0</v>
      </c>
      <c r="H2306" s="4" t="s">
        <v>11</v>
      </c>
      <c r="I2306" s="5">
        <v>0</v>
      </c>
      <c r="J2306" s="4">
        <v>45916.294479166667</v>
      </c>
    </row>
    <row r="2307" spans="1:10" x14ac:dyDescent="0.2">
      <c r="A2307" s="2" t="s">
        <v>10</v>
      </c>
      <c r="B2307" s="3" t="str">
        <f t="shared" si="46"/>
        <v>France - HCP Survey Email - June 2025</v>
      </c>
      <c r="C2307" s="3" t="str">
        <f>HYPERLINK("https://otsuka-europe-crm.veevavault.com/ui/#object/sent_email__v/VBLZ025E82GNOUT", "SE-000273980")</f>
        <v>SE-000273980</v>
      </c>
      <c r="D2307" s="4" t="s">
        <v>11</v>
      </c>
      <c r="E2307" s="5">
        <v>0</v>
      </c>
      <c r="F2307" s="5">
        <v>0</v>
      </c>
      <c r="G2307" s="5">
        <v>0</v>
      </c>
      <c r="H2307" s="4" t="s">
        <v>11</v>
      </c>
      <c r="I2307" s="5">
        <v>0</v>
      </c>
      <c r="J2307" s="4">
        <v>45916.294363425928</v>
      </c>
    </row>
    <row r="2308" spans="1:10" x14ac:dyDescent="0.2">
      <c r="A2308" s="2" t="s">
        <v>10</v>
      </c>
      <c r="B2308" s="3" t="str">
        <f t="shared" si="46"/>
        <v>France - HCP Survey Email - June 2025</v>
      </c>
      <c r="C2308" s="3" t="str">
        <f>HYPERLINK("https://otsuka-europe-crm.veevavault.com/ui/#object/sent_email__v/VBLZ025E82GNOUU", "SE-000273981")</f>
        <v>SE-000273981</v>
      </c>
      <c r="D2308" s="4" t="s">
        <v>11</v>
      </c>
      <c r="E2308" s="5">
        <v>0</v>
      </c>
      <c r="F2308" s="5">
        <v>0</v>
      </c>
      <c r="G2308" s="5">
        <v>0</v>
      </c>
      <c r="H2308" s="4" t="s">
        <v>11</v>
      </c>
      <c r="I2308" s="5">
        <v>0</v>
      </c>
      <c r="J2308" s="4">
        <v>45916.294976851852</v>
      </c>
    </row>
    <row r="2309" spans="1:10" x14ac:dyDescent="0.2">
      <c r="A2309" s="2" t="s">
        <v>10</v>
      </c>
      <c r="B2309" s="3" t="str">
        <f t="shared" si="46"/>
        <v>France - HCP Survey Email - June 2025</v>
      </c>
      <c r="C2309" s="3" t="str">
        <f>HYPERLINK("https://otsuka-europe-crm.veevavault.com/ui/#object/sent_email__v/VBLZ025E82GNOUV", "SE-000273982")</f>
        <v>SE-000273982</v>
      </c>
      <c r="D2309" s="4" t="s">
        <v>11</v>
      </c>
      <c r="E2309" s="5">
        <v>0</v>
      </c>
      <c r="F2309" s="5">
        <v>0</v>
      </c>
      <c r="G2309" s="5">
        <v>0</v>
      </c>
      <c r="H2309" s="4" t="s">
        <v>11</v>
      </c>
      <c r="I2309" s="5">
        <v>0</v>
      </c>
      <c r="J2309" s="4">
        <v>45916.294756944444</v>
      </c>
    </row>
    <row r="2310" spans="1:10" x14ac:dyDescent="0.2">
      <c r="A2310" s="2" t="s">
        <v>10</v>
      </c>
      <c r="B2310" s="3" t="str">
        <f t="shared" si="46"/>
        <v>France - HCP Survey Email - June 2025</v>
      </c>
      <c r="C2310" s="3" t="str">
        <f>HYPERLINK("https://otsuka-europe-crm.veevavault.com/ui/#object/sent_email__v/VBLZ025E82GNOUW", "SE-000273983")</f>
        <v>SE-000273983</v>
      </c>
      <c r="D2310" s="4" t="s">
        <v>11</v>
      </c>
      <c r="E2310" s="5">
        <v>0</v>
      </c>
      <c r="F2310" s="5">
        <v>0</v>
      </c>
      <c r="G2310" s="5">
        <v>0</v>
      </c>
      <c r="H2310" s="4" t="s">
        <v>11</v>
      </c>
      <c r="I2310" s="5">
        <v>0</v>
      </c>
      <c r="J2310" s="4">
        <v>45916.29446759259</v>
      </c>
    </row>
    <row r="2311" spans="1:10" x14ac:dyDescent="0.2">
      <c r="A2311" s="2" t="s">
        <v>10</v>
      </c>
      <c r="B2311" s="3" t="str">
        <f t="shared" si="46"/>
        <v>France - HCP Survey Email - June 2025</v>
      </c>
      <c r="C2311" s="3" t="str">
        <f>HYPERLINK("https://otsuka-europe-crm.veevavault.com/ui/#object/sent_email__v/VBLZ025E82GNOUX", "SE-000273984")</f>
        <v>SE-000273984</v>
      </c>
      <c r="D2311" s="4" t="s">
        <v>11</v>
      </c>
      <c r="E2311" s="5">
        <v>0</v>
      </c>
      <c r="F2311" s="5">
        <v>0</v>
      </c>
      <c r="G2311" s="5">
        <v>0</v>
      </c>
      <c r="H2311" s="4" t="s">
        <v>11</v>
      </c>
      <c r="I2311" s="5">
        <v>0</v>
      </c>
      <c r="J2311" s="4">
        <v>45916.294224537036</v>
      </c>
    </row>
    <row r="2312" spans="1:10" x14ac:dyDescent="0.2">
      <c r="A2312" s="2" t="s">
        <v>10</v>
      </c>
      <c r="B2312" s="3" t="str">
        <f t="shared" si="46"/>
        <v>France - HCP Survey Email - June 2025</v>
      </c>
      <c r="C2312" s="3" t="str">
        <f>HYPERLINK("https://otsuka-europe-crm.veevavault.com/ui/#object/sent_email__v/VBLZ025E82GNOUY", "SE-000273985")</f>
        <v>SE-000273985</v>
      </c>
      <c r="D2312" s="4" t="s">
        <v>11</v>
      </c>
      <c r="E2312" s="5">
        <v>0</v>
      </c>
      <c r="F2312" s="5">
        <v>0</v>
      </c>
      <c r="G2312" s="5">
        <v>0</v>
      </c>
      <c r="H2312" s="4" t="s">
        <v>11</v>
      </c>
      <c r="I2312" s="5">
        <v>0</v>
      </c>
      <c r="J2312" s="4">
        <v>45916.29488425926</v>
      </c>
    </row>
    <row r="2313" spans="1:10" x14ac:dyDescent="0.2">
      <c r="A2313" s="2" t="s">
        <v>10</v>
      </c>
      <c r="B2313" s="3" t="str">
        <f t="shared" si="46"/>
        <v>France - HCP Survey Email - June 2025</v>
      </c>
      <c r="C2313" s="3" t="str">
        <f>HYPERLINK("https://otsuka-europe-crm.veevavault.com/ui/#object/sent_email__v/VBLZ025E82GNOUZ", "SE-000273986")</f>
        <v>SE-000273986</v>
      </c>
      <c r="D2313" s="4" t="s">
        <v>11</v>
      </c>
      <c r="E2313" s="5">
        <v>0</v>
      </c>
      <c r="F2313" s="5">
        <v>0</v>
      </c>
      <c r="G2313" s="5">
        <v>0</v>
      </c>
      <c r="H2313" s="4" t="s">
        <v>11</v>
      </c>
      <c r="I2313" s="5">
        <v>0</v>
      </c>
      <c r="J2313" s="4">
        <v>45916.294699074075</v>
      </c>
    </row>
    <row r="2314" spans="1:10" x14ac:dyDescent="0.2">
      <c r="A2314" s="2" t="s">
        <v>10</v>
      </c>
      <c r="B2314" s="3" t="str">
        <f t="shared" si="46"/>
        <v>France - HCP Survey Email - June 2025</v>
      </c>
      <c r="C2314" s="3" t="str">
        <f>HYPERLINK("https://otsuka-europe-crm.veevavault.com/ui/#object/sent_email__v/VBLZ025E82GNOV0", "SE-000273987")</f>
        <v>SE-000273987</v>
      </c>
      <c r="D2314" s="4">
        <v>45916.294560185182</v>
      </c>
      <c r="E2314" s="5">
        <v>1</v>
      </c>
      <c r="F2314" s="5">
        <v>1</v>
      </c>
      <c r="G2314" s="5">
        <v>0</v>
      </c>
      <c r="H2314" s="4" t="s">
        <v>11</v>
      </c>
      <c r="I2314" s="5">
        <v>0</v>
      </c>
      <c r="J2314" s="4">
        <v>45916.294502314813</v>
      </c>
    </row>
    <row r="2315" spans="1:10" x14ac:dyDescent="0.2">
      <c r="A2315" s="2" t="s">
        <v>10</v>
      </c>
      <c r="B2315" s="3" t="str">
        <f t="shared" si="46"/>
        <v>France - HCP Survey Email - June 2025</v>
      </c>
      <c r="C2315" s="3" t="str">
        <f>HYPERLINK("https://otsuka-europe-crm.veevavault.com/ui/#object/sent_email__v/VBLZ025E82GNOV1", "SE-000273988")</f>
        <v>SE-000273988</v>
      </c>
      <c r="D2315" s="4" t="s">
        <v>11</v>
      </c>
      <c r="E2315" s="5">
        <v>0</v>
      </c>
      <c r="F2315" s="5">
        <v>0</v>
      </c>
      <c r="G2315" s="5">
        <v>0</v>
      </c>
      <c r="H2315" s="4" t="s">
        <v>11</v>
      </c>
      <c r="I2315" s="5">
        <v>0</v>
      </c>
      <c r="J2315" s="4">
        <v>45916.294189814813</v>
      </c>
    </row>
    <row r="2316" spans="1:10" x14ac:dyDescent="0.2">
      <c r="A2316" s="2" t="s">
        <v>10</v>
      </c>
      <c r="B2316" s="3" t="str">
        <f t="shared" si="46"/>
        <v>France - HCP Survey Email - June 2025</v>
      </c>
      <c r="C2316" s="3" t="str">
        <f>HYPERLINK("https://otsuka-europe-crm.veevavault.com/ui/#object/sent_email__v/VBLZ025E82GNOV2", "SE-000273989")</f>
        <v>SE-000273989</v>
      </c>
      <c r="D2316" s="4">
        <v>45916.363159722219</v>
      </c>
      <c r="E2316" s="5">
        <v>1</v>
      </c>
      <c r="F2316" s="5">
        <v>1</v>
      </c>
      <c r="G2316" s="5">
        <v>0</v>
      </c>
      <c r="H2316" s="4" t="s">
        <v>11</v>
      </c>
      <c r="I2316" s="5">
        <v>0</v>
      </c>
      <c r="J2316" s="4">
        <v>45916.294791666667</v>
      </c>
    </row>
    <row r="2317" spans="1:10" x14ac:dyDescent="0.2">
      <c r="A2317" s="2" t="s">
        <v>10</v>
      </c>
      <c r="B2317" s="3" t="str">
        <f t="shared" si="46"/>
        <v>France - HCP Survey Email - June 2025</v>
      </c>
      <c r="C2317" s="3" t="str">
        <f>HYPERLINK("https://otsuka-europe-crm.veevavault.com/ui/#object/sent_email__v/VBLZ025E82GNOV3", "SE-000273990")</f>
        <v>SE-000273990</v>
      </c>
      <c r="D2317" s="4">
        <v>45916.482094907406</v>
      </c>
      <c r="E2317" s="5">
        <v>1</v>
      </c>
      <c r="F2317" s="5">
        <v>1</v>
      </c>
      <c r="G2317" s="5">
        <v>1</v>
      </c>
      <c r="H2317" s="4">
        <v>45916.482094907406</v>
      </c>
      <c r="I2317" s="5">
        <v>1</v>
      </c>
      <c r="J2317" s="4">
        <v>45916.294490740744</v>
      </c>
    </row>
    <row r="2318" spans="1:10" x14ac:dyDescent="0.2">
      <c r="A2318" s="2" t="s">
        <v>10</v>
      </c>
      <c r="B2318" s="3" t="str">
        <f t="shared" si="46"/>
        <v>France - HCP Survey Email - June 2025</v>
      </c>
      <c r="C2318" s="3" t="str">
        <f>HYPERLINK("https://otsuka-europe-crm.veevavault.com/ui/#object/sent_email__v/VBLZ025E82GNOV5", "SE-000273992")</f>
        <v>SE-000273992</v>
      </c>
      <c r="D2318" s="4" t="s">
        <v>11</v>
      </c>
      <c r="E2318" s="5">
        <v>0</v>
      </c>
      <c r="F2318" s="5">
        <v>0</v>
      </c>
      <c r="G2318" s="5">
        <v>0</v>
      </c>
      <c r="H2318" s="4" t="s">
        <v>11</v>
      </c>
      <c r="I2318" s="5">
        <v>0</v>
      </c>
      <c r="J2318" s="4">
        <v>45916.294930555552</v>
      </c>
    </row>
    <row r="2319" spans="1:10" x14ac:dyDescent="0.2">
      <c r="A2319" s="2" t="s">
        <v>10</v>
      </c>
      <c r="B2319" s="3" t="str">
        <f t="shared" si="46"/>
        <v>France - HCP Survey Email - June 2025</v>
      </c>
      <c r="C2319" s="3" t="str">
        <f>HYPERLINK("https://otsuka-europe-crm.veevavault.com/ui/#object/sent_email__v/VBLZ025E82GNOV6", "SE-000273993")</f>
        <v>SE-000273993</v>
      </c>
      <c r="D2319" s="4" t="s">
        <v>11</v>
      </c>
      <c r="E2319" s="5">
        <v>0</v>
      </c>
      <c r="F2319" s="5">
        <v>0</v>
      </c>
      <c r="G2319" s="5">
        <v>0</v>
      </c>
      <c r="H2319" s="4" t="s">
        <v>11</v>
      </c>
      <c r="I2319" s="5">
        <v>0</v>
      </c>
      <c r="J2319" s="4">
        <v>45916.294687499998</v>
      </c>
    </row>
    <row r="2320" spans="1:10" x14ac:dyDescent="0.2">
      <c r="A2320" s="2" t="s">
        <v>10</v>
      </c>
      <c r="B2320" s="3" t="str">
        <f t="shared" si="46"/>
        <v>France - HCP Survey Email - June 2025</v>
      </c>
      <c r="C2320" s="3" t="str">
        <f>HYPERLINK("https://otsuka-europe-crm.veevavault.com/ui/#object/sent_email__v/VBLZ025E82GNOV7", "SE-000273994")</f>
        <v>SE-000273994</v>
      </c>
      <c r="D2320" s="4" t="s">
        <v>11</v>
      </c>
      <c r="E2320" s="5">
        <v>0</v>
      </c>
      <c r="F2320" s="5">
        <v>0</v>
      </c>
      <c r="G2320" s="5">
        <v>0</v>
      </c>
      <c r="H2320" s="4" t="s">
        <v>11</v>
      </c>
      <c r="I2320" s="5">
        <v>0</v>
      </c>
      <c r="J2320" s="4">
        <v>45916.294409722221</v>
      </c>
    </row>
    <row r="2321" spans="1:10" x14ac:dyDescent="0.2">
      <c r="A2321" s="2" t="s">
        <v>10</v>
      </c>
      <c r="B2321" s="3" t="str">
        <f t="shared" si="46"/>
        <v>France - HCP Survey Email - June 2025</v>
      </c>
      <c r="C2321" s="3" t="str">
        <f>HYPERLINK("https://otsuka-europe-crm.veevavault.com/ui/#object/sent_email__v/VBLZ025E82GNOV8", "SE-000273995")</f>
        <v>SE-000273995</v>
      </c>
      <c r="D2321" s="4" t="s">
        <v>11</v>
      </c>
      <c r="E2321" s="5">
        <v>0</v>
      </c>
      <c r="F2321" s="5">
        <v>0</v>
      </c>
      <c r="G2321" s="5">
        <v>0</v>
      </c>
      <c r="H2321" s="4" t="s">
        <v>11</v>
      </c>
      <c r="I2321" s="5">
        <v>0</v>
      </c>
      <c r="J2321" s="4">
        <v>45916.294548611113</v>
      </c>
    </row>
    <row r="2322" spans="1:10" x14ac:dyDescent="0.2">
      <c r="A2322" s="2" t="s">
        <v>10</v>
      </c>
      <c r="B2322" s="3" t="str">
        <f t="shared" si="46"/>
        <v>France - HCP Survey Email - June 2025</v>
      </c>
      <c r="C2322" s="3" t="str">
        <f>HYPERLINK("https://otsuka-europe-crm.veevavault.com/ui/#object/sent_email__v/VBLZ025E82GNOV9", "SE-000273996")</f>
        <v>SE-000273996</v>
      </c>
      <c r="D2322" s="4" t="s">
        <v>11</v>
      </c>
      <c r="E2322" s="5">
        <v>0</v>
      </c>
      <c r="F2322" s="5">
        <v>0</v>
      </c>
      <c r="G2322" s="5">
        <v>0</v>
      </c>
      <c r="H2322" s="4" t="s">
        <v>11</v>
      </c>
      <c r="I2322" s="5">
        <v>0</v>
      </c>
      <c r="J2322" s="4">
        <v>45916.294340277775</v>
      </c>
    </row>
    <row r="2323" spans="1:10" x14ac:dyDescent="0.2">
      <c r="A2323" s="2" t="s">
        <v>10</v>
      </c>
      <c r="B2323" s="3" t="str">
        <f t="shared" si="46"/>
        <v>France - HCP Survey Email - June 2025</v>
      </c>
      <c r="C2323" s="3" t="str">
        <f>HYPERLINK("https://otsuka-europe-crm.veevavault.com/ui/#object/sent_email__v/VBLZ025E82GNOVA", "SE-000273997")</f>
        <v>SE-000273997</v>
      </c>
      <c r="D2323" s="4" t="s">
        <v>11</v>
      </c>
      <c r="E2323" s="5">
        <v>0</v>
      </c>
      <c r="F2323" s="5">
        <v>0</v>
      </c>
      <c r="G2323" s="5">
        <v>0</v>
      </c>
      <c r="H2323" s="4" t="s">
        <v>11</v>
      </c>
      <c r="I2323" s="5">
        <v>0</v>
      </c>
      <c r="J2323" s="4">
        <v>45916.294907407406</v>
      </c>
    </row>
    <row r="2324" spans="1:10" x14ac:dyDescent="0.2">
      <c r="A2324" s="2" t="s">
        <v>10</v>
      </c>
      <c r="B2324" s="3" t="str">
        <f t="shared" si="46"/>
        <v>France - HCP Survey Email - June 2025</v>
      </c>
      <c r="C2324" s="3" t="str">
        <f>HYPERLINK("https://otsuka-europe-crm.veevavault.com/ui/#object/sent_email__v/VBLZ025E82GNOVB", "SE-000273998")</f>
        <v>SE-000273998</v>
      </c>
      <c r="D2324" s="4" t="s">
        <v>11</v>
      </c>
      <c r="E2324" s="5">
        <v>0</v>
      </c>
      <c r="F2324" s="5">
        <v>0</v>
      </c>
      <c r="G2324" s="5">
        <v>0</v>
      </c>
      <c r="H2324" s="4" t="s">
        <v>11</v>
      </c>
      <c r="I2324" s="5">
        <v>0</v>
      </c>
      <c r="J2324" s="4">
        <v>45916.294756944444</v>
      </c>
    </row>
    <row r="2325" spans="1:10" x14ac:dyDescent="0.2">
      <c r="A2325" s="2" t="s">
        <v>10</v>
      </c>
      <c r="B2325" s="3" t="str">
        <f t="shared" si="46"/>
        <v>France - HCP Survey Email - June 2025</v>
      </c>
      <c r="C2325" s="3" t="str">
        <f>HYPERLINK("https://otsuka-europe-crm.veevavault.com/ui/#object/sent_email__v/VBLZ025E82GNOVC", "SE-000273999")</f>
        <v>SE-000273999</v>
      </c>
      <c r="D2325" s="4" t="s">
        <v>11</v>
      </c>
      <c r="E2325" s="5">
        <v>0</v>
      </c>
      <c r="F2325" s="5">
        <v>0</v>
      </c>
      <c r="G2325" s="5">
        <v>0</v>
      </c>
      <c r="H2325" s="4" t="s">
        <v>11</v>
      </c>
      <c r="I2325" s="5">
        <v>0</v>
      </c>
      <c r="J2325" s="4">
        <v>45916.29451388889</v>
      </c>
    </row>
    <row r="2326" spans="1:10" x14ac:dyDescent="0.2">
      <c r="A2326" s="2" t="s">
        <v>10</v>
      </c>
      <c r="B2326" s="3" t="str">
        <f t="shared" si="46"/>
        <v>France - HCP Survey Email - June 2025</v>
      </c>
      <c r="C2326" s="3" t="str">
        <f>HYPERLINK("https://otsuka-europe-crm.veevavault.com/ui/#object/sent_email__v/VBLZ025E82GNOVD", "SE-000274000")</f>
        <v>SE-000274000</v>
      </c>
      <c r="D2326" s="4" t="s">
        <v>11</v>
      </c>
      <c r="E2326" s="5">
        <v>0</v>
      </c>
      <c r="F2326" s="5">
        <v>0</v>
      </c>
      <c r="G2326" s="5">
        <v>0</v>
      </c>
      <c r="H2326" s="4" t="s">
        <v>11</v>
      </c>
      <c r="I2326" s="5">
        <v>0</v>
      </c>
      <c r="J2326" s="4">
        <v>45916.294247685182</v>
      </c>
    </row>
    <row r="2327" spans="1:10" x14ac:dyDescent="0.2">
      <c r="A2327" s="2" t="s">
        <v>10</v>
      </c>
      <c r="B2327" s="3" t="str">
        <f t="shared" si="46"/>
        <v>France - HCP Survey Email - June 2025</v>
      </c>
      <c r="C2327" s="3" t="str">
        <f>HYPERLINK("https://otsuka-europe-crm.veevavault.com/ui/#object/sent_email__v/VBLZ025E82GNOVE", "SE-000274001")</f>
        <v>SE-000274001</v>
      </c>
      <c r="D2327" s="4" t="s">
        <v>11</v>
      </c>
      <c r="E2327" s="5">
        <v>0</v>
      </c>
      <c r="F2327" s="5">
        <v>0</v>
      </c>
      <c r="G2327" s="5">
        <v>0</v>
      </c>
      <c r="H2327" s="4" t="s">
        <v>11</v>
      </c>
      <c r="I2327" s="5">
        <v>0</v>
      </c>
      <c r="J2327" s="4">
        <v>45916.294907407406</v>
      </c>
    </row>
    <row r="2328" spans="1:10" x14ac:dyDescent="0.2">
      <c r="A2328" s="2" t="s">
        <v>10</v>
      </c>
      <c r="B2328" s="3" t="str">
        <f t="shared" si="46"/>
        <v>France - HCP Survey Email - June 2025</v>
      </c>
      <c r="C2328" s="3" t="str">
        <f>HYPERLINK("https://otsuka-europe-crm.veevavault.com/ui/#object/sent_email__v/VBLZ025E82GNOVF", "SE-000274002")</f>
        <v>SE-000274002</v>
      </c>
      <c r="D2328" s="4" t="s">
        <v>11</v>
      </c>
      <c r="E2328" s="5">
        <v>0</v>
      </c>
      <c r="F2328" s="5">
        <v>0</v>
      </c>
      <c r="G2328" s="5">
        <v>0</v>
      </c>
      <c r="H2328" s="4" t="s">
        <v>11</v>
      </c>
      <c r="I2328" s="5">
        <v>0</v>
      </c>
      <c r="J2328" s="4">
        <v>45916.294652777775</v>
      </c>
    </row>
    <row r="2329" spans="1:10" x14ac:dyDescent="0.2">
      <c r="A2329" s="2" t="s">
        <v>10</v>
      </c>
      <c r="B2329" s="3" t="str">
        <f t="shared" si="46"/>
        <v>France - HCP Survey Email - June 2025</v>
      </c>
      <c r="C2329" s="3" t="str">
        <f>HYPERLINK("https://otsuka-europe-crm.veevavault.com/ui/#object/sent_email__v/VBLZ025E82GNOVG", "SE-000274003")</f>
        <v>SE-000274003</v>
      </c>
      <c r="D2329" s="4" t="s">
        <v>11</v>
      </c>
      <c r="E2329" s="5">
        <v>0</v>
      </c>
      <c r="F2329" s="5">
        <v>0</v>
      </c>
      <c r="G2329" s="5">
        <v>0</v>
      </c>
      <c r="H2329" s="4" t="s">
        <v>11</v>
      </c>
      <c r="I2329" s="5">
        <v>0</v>
      </c>
      <c r="J2329" s="4">
        <v>45916.294351851851</v>
      </c>
    </row>
    <row r="2330" spans="1:10" x14ac:dyDescent="0.2">
      <c r="A2330" s="2" t="s">
        <v>10</v>
      </c>
      <c r="B2330" s="3" t="str">
        <f t="shared" si="46"/>
        <v>France - HCP Survey Email - June 2025</v>
      </c>
      <c r="C2330" s="3" t="str">
        <f>HYPERLINK("https://otsuka-europe-crm.veevavault.com/ui/#object/sent_email__v/VBLZ025E82GNOVH", "SE-000274004")</f>
        <v>SE-000274004</v>
      </c>
      <c r="D2330" s="4" t="s">
        <v>11</v>
      </c>
      <c r="E2330" s="5">
        <v>0</v>
      </c>
      <c r="F2330" s="5">
        <v>0</v>
      </c>
      <c r="G2330" s="5">
        <v>0</v>
      </c>
      <c r="H2330" s="4" t="s">
        <v>11</v>
      </c>
      <c r="I2330" s="5">
        <v>0</v>
      </c>
      <c r="J2330" s="4">
        <v>45916.295057870368</v>
      </c>
    </row>
    <row r="2331" spans="1:10" x14ac:dyDescent="0.2">
      <c r="A2331" s="2" t="s">
        <v>10</v>
      </c>
      <c r="B2331" s="3" t="str">
        <f t="shared" si="46"/>
        <v>France - HCP Survey Email - June 2025</v>
      </c>
      <c r="C2331" s="3" t="str">
        <f>HYPERLINK("https://otsuka-europe-crm.veevavault.com/ui/#object/sent_email__v/VBLZ025E82GNOVI", "SE-000274005")</f>
        <v>SE-000274005</v>
      </c>
      <c r="D2331" s="4" t="s">
        <v>11</v>
      </c>
      <c r="E2331" s="5">
        <v>0</v>
      </c>
      <c r="F2331" s="5">
        <v>0</v>
      </c>
      <c r="G2331" s="5">
        <v>0</v>
      </c>
      <c r="H2331" s="4" t="s">
        <v>11</v>
      </c>
      <c r="I2331" s="5">
        <v>0</v>
      </c>
      <c r="J2331" s="4">
        <v>45916.294791666667</v>
      </c>
    </row>
    <row r="2332" spans="1:10" x14ac:dyDescent="0.2">
      <c r="A2332" s="2" t="s">
        <v>10</v>
      </c>
      <c r="B2332" s="3" t="str">
        <f t="shared" si="46"/>
        <v>France - HCP Survey Email - June 2025</v>
      </c>
      <c r="C2332" s="3" t="str">
        <f>HYPERLINK("https://otsuka-europe-crm.veevavault.com/ui/#object/sent_email__v/VBLZ025E82GNOVJ", "SE-000274006")</f>
        <v>SE-000274006</v>
      </c>
      <c r="D2332" s="4" t="s">
        <v>11</v>
      </c>
      <c r="E2332" s="5">
        <v>0</v>
      </c>
      <c r="F2332" s="5">
        <v>0</v>
      </c>
      <c r="G2332" s="5">
        <v>0</v>
      </c>
      <c r="H2332" s="4" t="s">
        <v>11</v>
      </c>
      <c r="I2332" s="5">
        <v>0</v>
      </c>
      <c r="J2332" s="4">
        <v>45916.294560185182</v>
      </c>
    </row>
    <row r="2333" spans="1:10" x14ac:dyDescent="0.2">
      <c r="A2333" s="2" t="s">
        <v>10</v>
      </c>
      <c r="B2333" s="3" t="str">
        <f t="shared" si="46"/>
        <v>France - HCP Survey Email - June 2025</v>
      </c>
      <c r="C2333" s="3" t="str">
        <f>HYPERLINK("https://otsuka-europe-crm.veevavault.com/ui/#object/sent_email__v/VBLZ025E82GNOVK", "SE-000274007")</f>
        <v>SE-000274007</v>
      </c>
      <c r="D2333" s="4">
        <v>45917.185393518521</v>
      </c>
      <c r="E2333" s="5">
        <v>1</v>
      </c>
      <c r="F2333" s="5">
        <v>1</v>
      </c>
      <c r="G2333" s="5">
        <v>0</v>
      </c>
      <c r="H2333" s="4" t="s">
        <v>11</v>
      </c>
      <c r="I2333" s="5">
        <v>0</v>
      </c>
      <c r="J2333" s="4">
        <v>45916.294328703705</v>
      </c>
    </row>
    <row r="2334" spans="1:10" x14ac:dyDescent="0.2">
      <c r="A2334" s="2" t="s">
        <v>10</v>
      </c>
      <c r="B2334" s="3" t="str">
        <f t="shared" si="46"/>
        <v>France - HCP Survey Email - June 2025</v>
      </c>
      <c r="C2334" s="3" t="str">
        <f>HYPERLINK("https://otsuka-europe-crm.veevavault.com/ui/#object/sent_email__v/VBLZ025E82GNOVL", "SE-000274008")</f>
        <v>SE-000274008</v>
      </c>
      <c r="D2334" s="4">
        <v>45916.366099537037</v>
      </c>
      <c r="E2334" s="5">
        <v>1</v>
      </c>
      <c r="F2334" s="5">
        <v>2</v>
      </c>
      <c r="G2334" s="5">
        <v>0</v>
      </c>
      <c r="H2334" s="4" t="s">
        <v>11</v>
      </c>
      <c r="I2334" s="5">
        <v>0</v>
      </c>
      <c r="J2334" s="4">
        <v>45916.294861111113</v>
      </c>
    </row>
    <row r="2335" spans="1:10" x14ac:dyDescent="0.2">
      <c r="A2335" s="2" t="s">
        <v>10</v>
      </c>
      <c r="B2335" s="3" t="str">
        <f t="shared" si="46"/>
        <v>France - HCP Survey Email - June 2025</v>
      </c>
      <c r="C2335" s="3" t="str">
        <f>HYPERLINK("https://otsuka-europe-crm.veevavault.com/ui/#object/sent_email__v/VBLZ025E82GNOVN", "SE-000274010")</f>
        <v>SE-000274010</v>
      </c>
      <c r="D2335" s="4" t="s">
        <v>11</v>
      </c>
      <c r="E2335" s="5">
        <v>0</v>
      </c>
      <c r="F2335" s="5">
        <v>0</v>
      </c>
      <c r="G2335" s="5">
        <v>0</v>
      </c>
      <c r="H2335" s="4" t="s">
        <v>11</v>
      </c>
      <c r="I2335" s="5">
        <v>0</v>
      </c>
      <c r="J2335" s="4">
        <v>45916.294479166667</v>
      </c>
    </row>
    <row r="2336" spans="1:10" x14ac:dyDescent="0.2">
      <c r="A2336" s="2" t="s">
        <v>10</v>
      </c>
      <c r="B2336" s="3" t="str">
        <f t="shared" si="46"/>
        <v>France - HCP Survey Email - June 2025</v>
      </c>
      <c r="C2336" s="3" t="str">
        <f>HYPERLINK("https://otsuka-europe-crm.veevavault.com/ui/#object/sent_email__v/VBLZ025E82GNOVO", "SE-000274011")</f>
        <v>SE-000274011</v>
      </c>
      <c r="D2336" s="4" t="s">
        <v>11</v>
      </c>
      <c r="E2336" s="5">
        <v>0</v>
      </c>
      <c r="F2336" s="5">
        <v>0</v>
      </c>
      <c r="G2336" s="5">
        <v>0</v>
      </c>
      <c r="H2336" s="4" t="s">
        <v>11</v>
      </c>
      <c r="I2336" s="5">
        <v>0</v>
      </c>
      <c r="J2336" s="4">
        <v>45916.294236111113</v>
      </c>
    </row>
    <row r="2337" spans="1:10" x14ac:dyDescent="0.2">
      <c r="A2337" s="2" t="s">
        <v>10</v>
      </c>
      <c r="B2337" s="3" t="str">
        <f t="shared" si="46"/>
        <v>France - HCP Survey Email - June 2025</v>
      </c>
      <c r="C2337" s="3" t="str">
        <f>HYPERLINK("https://otsuka-europe-crm.veevavault.com/ui/#object/sent_email__v/VBLZ025E82GNOVP", "SE-000274012")</f>
        <v>SE-000274012</v>
      </c>
      <c r="D2337" s="4" t="s">
        <v>11</v>
      </c>
      <c r="E2337" s="5">
        <v>0</v>
      </c>
      <c r="F2337" s="5">
        <v>0</v>
      </c>
      <c r="G2337" s="5">
        <v>0</v>
      </c>
      <c r="H2337" s="4" t="s">
        <v>11</v>
      </c>
      <c r="I2337" s="5">
        <v>0</v>
      </c>
      <c r="J2337" s="4">
        <v>45916.294791666667</v>
      </c>
    </row>
    <row r="2338" spans="1:10" x14ac:dyDescent="0.2">
      <c r="A2338" s="2" t="s">
        <v>10</v>
      </c>
      <c r="B2338" s="3" t="str">
        <f t="shared" si="46"/>
        <v>France - HCP Survey Email - June 2025</v>
      </c>
      <c r="C2338" s="3" t="str">
        <f>HYPERLINK("https://otsuka-europe-crm.veevavault.com/ui/#object/sent_email__v/VBLZ025E82GNOVQ", "SE-000274013")</f>
        <v>SE-000274013</v>
      </c>
      <c r="D2338" s="4">
        <v>45916.883067129631</v>
      </c>
      <c r="E2338" s="5">
        <v>1</v>
      </c>
      <c r="F2338" s="5">
        <v>1</v>
      </c>
      <c r="G2338" s="5">
        <v>0</v>
      </c>
      <c r="H2338" s="4" t="s">
        <v>11</v>
      </c>
      <c r="I2338" s="5">
        <v>0</v>
      </c>
      <c r="J2338" s="4">
        <v>45916.294560185182</v>
      </c>
    </row>
    <row r="2339" spans="1:10" x14ac:dyDescent="0.2">
      <c r="A2339" s="2" t="s">
        <v>10</v>
      </c>
      <c r="B2339" s="3" t="str">
        <f t="shared" si="46"/>
        <v>France - HCP Survey Email - June 2025</v>
      </c>
      <c r="C2339" s="3" t="str">
        <f>HYPERLINK("https://otsuka-europe-crm.veevavault.com/ui/#object/sent_email__v/VBLZ025E82GNOVR", "SE-000274014")</f>
        <v>SE-000274014</v>
      </c>
      <c r="D2339" s="4" t="s">
        <v>11</v>
      </c>
      <c r="E2339" s="5">
        <v>0</v>
      </c>
      <c r="F2339" s="5">
        <v>0</v>
      </c>
      <c r="G2339" s="5">
        <v>0</v>
      </c>
      <c r="H2339" s="4" t="s">
        <v>11</v>
      </c>
      <c r="I2339" s="5">
        <v>0</v>
      </c>
      <c r="J2339" s="4">
        <v>45916.294328703705</v>
      </c>
    </row>
    <row r="2340" spans="1:10" x14ac:dyDescent="0.2">
      <c r="A2340" s="2" t="s">
        <v>10</v>
      </c>
      <c r="B2340" s="3" t="str">
        <f t="shared" si="46"/>
        <v>France - HCP Survey Email - June 2025</v>
      </c>
      <c r="C2340" s="3" t="str">
        <f>HYPERLINK("https://otsuka-europe-crm.veevavault.com/ui/#object/sent_email__v/VBLZ025E82GNOVS", "SE-000274015")</f>
        <v>SE-000274015</v>
      </c>
      <c r="D2340" s="4" t="s">
        <v>11</v>
      </c>
      <c r="E2340" s="5">
        <v>0</v>
      </c>
      <c r="F2340" s="5">
        <v>0</v>
      </c>
      <c r="G2340" s="5">
        <v>0</v>
      </c>
      <c r="H2340" s="4" t="s">
        <v>11</v>
      </c>
      <c r="I2340" s="5">
        <v>0</v>
      </c>
      <c r="J2340" s="4">
        <v>45916.295034722221</v>
      </c>
    </row>
    <row r="2341" spans="1:10" x14ac:dyDescent="0.2">
      <c r="A2341" s="2" t="s">
        <v>10</v>
      </c>
      <c r="B2341" s="3" t="str">
        <f t="shared" si="46"/>
        <v>France - HCP Survey Email - June 2025</v>
      </c>
      <c r="C2341" s="3" t="str">
        <f>HYPERLINK("https://otsuka-europe-crm.veevavault.com/ui/#object/sent_email__v/VBLZ025E82GNOVT", "SE-000274016")</f>
        <v>SE-000274016</v>
      </c>
      <c r="D2341" s="4" t="s">
        <v>11</v>
      </c>
      <c r="E2341" s="5">
        <v>0</v>
      </c>
      <c r="F2341" s="5">
        <v>0</v>
      </c>
      <c r="G2341" s="5">
        <v>0</v>
      </c>
      <c r="H2341" s="4" t="s">
        <v>11</v>
      </c>
      <c r="I2341" s="5">
        <v>0</v>
      </c>
      <c r="J2341" s="4">
        <v>45916.294699074075</v>
      </c>
    </row>
    <row r="2342" spans="1:10" x14ac:dyDescent="0.2">
      <c r="A2342" s="2" t="s">
        <v>10</v>
      </c>
      <c r="B2342" s="3" t="str">
        <f t="shared" si="46"/>
        <v>France - HCP Survey Email - June 2025</v>
      </c>
      <c r="C2342" s="3" t="str">
        <f>HYPERLINK("https://otsuka-europe-crm.veevavault.com/ui/#object/sent_email__v/VBLZ025E82GNOVU", "SE-000274017")</f>
        <v>SE-000274017</v>
      </c>
      <c r="D2342" s="4" t="s">
        <v>11</v>
      </c>
      <c r="E2342" s="5">
        <v>0</v>
      </c>
      <c r="F2342" s="5">
        <v>0</v>
      </c>
      <c r="G2342" s="5">
        <v>0</v>
      </c>
      <c r="H2342" s="4" t="s">
        <v>11</v>
      </c>
      <c r="I2342" s="5">
        <v>0</v>
      </c>
      <c r="J2342" s="4">
        <v>45916.29451388889</v>
      </c>
    </row>
    <row r="2343" spans="1:10" x14ac:dyDescent="0.2">
      <c r="A2343" s="2" t="s">
        <v>10</v>
      </c>
      <c r="B2343" s="3" t="str">
        <f t="shared" si="46"/>
        <v>France - HCP Survey Email - June 2025</v>
      </c>
      <c r="C2343" s="3" t="str">
        <f>HYPERLINK("https://otsuka-europe-crm.veevavault.com/ui/#object/sent_email__v/VBLZ025E82GNOVV", "SE-000274018")</f>
        <v>SE-000274018</v>
      </c>
      <c r="D2343" s="4" t="s">
        <v>11</v>
      </c>
      <c r="E2343" s="5">
        <v>0</v>
      </c>
      <c r="F2343" s="5">
        <v>0</v>
      </c>
      <c r="G2343" s="5">
        <v>0</v>
      </c>
      <c r="H2343" s="4" t="s">
        <v>11</v>
      </c>
      <c r="I2343" s="5">
        <v>0</v>
      </c>
      <c r="J2343" s="4">
        <v>45916.294293981482</v>
      </c>
    </row>
    <row r="2344" spans="1:10" x14ac:dyDescent="0.2">
      <c r="A2344" s="2" t="s">
        <v>10</v>
      </c>
      <c r="B2344" s="3" t="str">
        <f t="shared" si="46"/>
        <v>France - HCP Survey Email - June 2025</v>
      </c>
      <c r="C2344" s="3" t="str">
        <f>HYPERLINK("https://otsuka-europe-crm.veevavault.com/ui/#object/sent_email__v/VBLZ025E82GNOVW", "SE-000274019")</f>
        <v>SE-000274019</v>
      </c>
      <c r="D2344" s="4" t="s">
        <v>11</v>
      </c>
      <c r="E2344" s="5">
        <v>0</v>
      </c>
      <c r="F2344" s="5">
        <v>0</v>
      </c>
      <c r="G2344" s="5">
        <v>0</v>
      </c>
      <c r="H2344" s="4" t="s">
        <v>11</v>
      </c>
      <c r="I2344" s="5">
        <v>0</v>
      </c>
      <c r="J2344" s="4">
        <v>45916.29488425926</v>
      </c>
    </row>
    <row r="2345" spans="1:10" x14ac:dyDescent="0.2">
      <c r="A2345" s="2" t="s">
        <v>10</v>
      </c>
      <c r="B2345" s="3" t="str">
        <f t="shared" si="46"/>
        <v>France - HCP Survey Email - June 2025</v>
      </c>
      <c r="C2345" s="3" t="str">
        <f>HYPERLINK("https://otsuka-europe-crm.veevavault.com/ui/#object/sent_email__v/VBLZ025E82GNOVX", "SE-000274020")</f>
        <v>SE-000274020</v>
      </c>
      <c r="D2345" s="4" t="s">
        <v>11</v>
      </c>
      <c r="E2345" s="5">
        <v>0</v>
      </c>
      <c r="F2345" s="5">
        <v>0</v>
      </c>
      <c r="G2345" s="5">
        <v>0</v>
      </c>
      <c r="H2345" s="4" t="s">
        <v>11</v>
      </c>
      <c r="I2345" s="5">
        <v>0</v>
      </c>
      <c r="J2345" s="4">
        <v>45916.294699074075</v>
      </c>
    </row>
    <row r="2346" spans="1:10" x14ac:dyDescent="0.2">
      <c r="A2346" s="2" t="s">
        <v>10</v>
      </c>
      <c r="B2346" s="3" t="str">
        <f t="shared" si="46"/>
        <v>France - HCP Survey Email - June 2025</v>
      </c>
      <c r="C2346" s="3" t="str">
        <f>HYPERLINK("https://otsuka-europe-crm.veevavault.com/ui/#object/sent_email__v/VBLZ025E82GNOVY", "SE-000274021")</f>
        <v>SE-000274021</v>
      </c>
      <c r="D2346" s="4" t="s">
        <v>11</v>
      </c>
      <c r="E2346" s="5">
        <v>0</v>
      </c>
      <c r="F2346" s="5">
        <v>0</v>
      </c>
      <c r="G2346" s="5">
        <v>0</v>
      </c>
      <c r="H2346" s="4" t="s">
        <v>11</v>
      </c>
      <c r="I2346" s="5">
        <v>0</v>
      </c>
      <c r="J2346" s="4">
        <v>45916.294479166667</v>
      </c>
    </row>
    <row r="2347" spans="1:10" x14ac:dyDescent="0.2">
      <c r="A2347" s="2" t="s">
        <v>10</v>
      </c>
      <c r="B2347" s="3" t="str">
        <f t="shared" si="46"/>
        <v>France - HCP Survey Email - June 2025</v>
      </c>
      <c r="C2347" s="3" t="str">
        <f>HYPERLINK("https://otsuka-europe-crm.veevavault.com/ui/#object/sent_email__v/VBLZ025E82GNOVZ", "SE-000274022")</f>
        <v>SE-000274022</v>
      </c>
      <c r="D2347" s="4">
        <v>45916.333252314813</v>
      </c>
      <c r="E2347" s="5">
        <v>1</v>
      </c>
      <c r="F2347" s="5">
        <v>1</v>
      </c>
      <c r="G2347" s="5">
        <v>0</v>
      </c>
      <c r="H2347" s="4" t="s">
        <v>11</v>
      </c>
      <c r="I2347" s="5">
        <v>0</v>
      </c>
      <c r="J2347" s="4">
        <v>45916.294270833336</v>
      </c>
    </row>
    <row r="2348" spans="1:10" x14ac:dyDescent="0.2">
      <c r="A2348" s="2" t="s">
        <v>10</v>
      </c>
      <c r="B2348" s="3" t="str">
        <f t="shared" si="46"/>
        <v>France - HCP Survey Email - June 2025</v>
      </c>
      <c r="C2348" s="3" t="str">
        <f>HYPERLINK("https://otsuka-europe-crm.veevavault.com/ui/#object/sent_email__v/VBLZ025E82GNOW0", "SE-000274023")</f>
        <v>SE-000274023</v>
      </c>
      <c r="D2348" s="4">
        <v>45916.29483796296</v>
      </c>
      <c r="E2348" s="5">
        <v>1</v>
      </c>
      <c r="F2348" s="5">
        <v>1</v>
      </c>
      <c r="G2348" s="5">
        <v>0</v>
      </c>
      <c r="H2348" s="4" t="s">
        <v>11</v>
      </c>
      <c r="I2348" s="5">
        <v>0</v>
      </c>
      <c r="J2348" s="4">
        <v>45916.294814814813</v>
      </c>
    </row>
    <row r="2349" spans="1:10" x14ac:dyDescent="0.2">
      <c r="A2349" s="2" t="s">
        <v>10</v>
      </c>
      <c r="B2349" s="3" t="str">
        <f t="shared" si="46"/>
        <v>France - HCP Survey Email - June 2025</v>
      </c>
      <c r="C2349" s="3" t="str">
        <f>HYPERLINK("https://otsuka-europe-crm.veevavault.com/ui/#object/sent_email__v/VBLZ025E82GNOW1", "SE-000274024")</f>
        <v>SE-000274024</v>
      </c>
      <c r="D2349" s="4">
        <v>45916.298530092594</v>
      </c>
      <c r="E2349" s="5">
        <v>1</v>
      </c>
      <c r="F2349" s="5">
        <v>1</v>
      </c>
      <c r="G2349" s="5">
        <v>0</v>
      </c>
      <c r="H2349" s="4" t="s">
        <v>11</v>
      </c>
      <c r="I2349" s="5">
        <v>0</v>
      </c>
      <c r="J2349" s="4">
        <v>45916.294618055559</v>
      </c>
    </row>
    <row r="2350" spans="1:10" x14ac:dyDescent="0.2">
      <c r="A2350" s="2" t="s">
        <v>10</v>
      </c>
      <c r="B2350" s="3" t="str">
        <f t="shared" si="46"/>
        <v>France - HCP Survey Email - June 2025</v>
      </c>
      <c r="C2350" s="3" t="str">
        <f>HYPERLINK("https://otsuka-europe-crm.veevavault.com/ui/#object/sent_email__v/VBLZ025E82GNOW2", "SE-000274025")</f>
        <v>SE-000274025</v>
      </c>
      <c r="D2350" s="4" t="s">
        <v>11</v>
      </c>
      <c r="E2350" s="5">
        <v>0</v>
      </c>
      <c r="F2350" s="5">
        <v>0</v>
      </c>
      <c r="G2350" s="5">
        <v>0</v>
      </c>
      <c r="H2350" s="4" t="s">
        <v>11</v>
      </c>
      <c r="I2350" s="5">
        <v>0</v>
      </c>
      <c r="J2350" s="4">
        <v>45916.294363425928</v>
      </c>
    </row>
    <row r="2351" spans="1:10" x14ac:dyDescent="0.2">
      <c r="A2351" s="2" t="s">
        <v>10</v>
      </c>
      <c r="B2351" s="3" t="str">
        <f t="shared" si="46"/>
        <v>France - HCP Survey Email - June 2025</v>
      </c>
      <c r="C2351" s="3" t="str">
        <f>HYPERLINK("https://otsuka-europe-crm.veevavault.com/ui/#object/sent_email__v/VBLZ025E82GNOW3", "SE-000274026")</f>
        <v>SE-000274026</v>
      </c>
      <c r="D2351" s="4" t="s">
        <v>11</v>
      </c>
      <c r="E2351" s="5">
        <v>0</v>
      </c>
      <c r="F2351" s="5">
        <v>0</v>
      </c>
      <c r="G2351" s="5">
        <v>0</v>
      </c>
      <c r="H2351" s="4" t="s">
        <v>11</v>
      </c>
      <c r="I2351" s="5">
        <v>0</v>
      </c>
      <c r="J2351" s="4">
        <v>45916.294259259259</v>
      </c>
    </row>
    <row r="2352" spans="1:10" x14ac:dyDescent="0.2">
      <c r="A2352" s="2" t="s">
        <v>10</v>
      </c>
      <c r="B2352" s="3" t="str">
        <f t="shared" si="46"/>
        <v>France - HCP Survey Email - June 2025</v>
      </c>
      <c r="C2352" s="3" t="str">
        <f>HYPERLINK("https://otsuka-europe-crm.veevavault.com/ui/#object/sent_email__v/VBLZ025E82GNOW4", "SE-000274027")</f>
        <v>SE-000274027</v>
      </c>
      <c r="D2352" s="4" t="s">
        <v>11</v>
      </c>
      <c r="E2352" s="5">
        <v>0</v>
      </c>
      <c r="F2352" s="5">
        <v>0</v>
      </c>
      <c r="G2352" s="5">
        <v>0</v>
      </c>
      <c r="H2352" s="4" t="s">
        <v>11</v>
      </c>
      <c r="I2352" s="5">
        <v>0</v>
      </c>
      <c r="J2352" s="4">
        <v>45916.29478009259</v>
      </c>
    </row>
    <row r="2353" spans="1:10" x14ac:dyDescent="0.2">
      <c r="A2353" s="2" t="s">
        <v>10</v>
      </c>
      <c r="B2353" s="3" t="str">
        <f t="shared" si="46"/>
        <v>France - HCP Survey Email - June 2025</v>
      </c>
      <c r="C2353" s="3" t="str">
        <f>HYPERLINK("https://otsuka-europe-crm.veevavault.com/ui/#object/sent_email__v/VBLZ025E82GNOW5", "SE-000274028")</f>
        <v>SE-000274028</v>
      </c>
      <c r="D2353" s="4">
        <v>45920.530682870369</v>
      </c>
      <c r="E2353" s="5">
        <v>1</v>
      </c>
      <c r="F2353" s="5">
        <v>1</v>
      </c>
      <c r="G2353" s="5">
        <v>1</v>
      </c>
      <c r="H2353" s="4">
        <v>45920.530682870369</v>
      </c>
      <c r="I2353" s="5">
        <v>1</v>
      </c>
      <c r="J2353" s="4">
        <v>45916.294537037036</v>
      </c>
    </row>
    <row r="2354" spans="1:10" x14ac:dyDescent="0.2">
      <c r="A2354" s="2" t="s">
        <v>10</v>
      </c>
      <c r="B2354" s="3" t="str">
        <f t="shared" si="46"/>
        <v>France - HCP Survey Email - June 2025</v>
      </c>
      <c r="C2354" s="3" t="str">
        <f>HYPERLINK("https://otsuka-europe-crm.veevavault.com/ui/#object/sent_email__v/VBLZ025E82GNOW6", "SE-000274029")</f>
        <v>SE-000274029</v>
      </c>
      <c r="D2354" s="4" t="s">
        <v>11</v>
      </c>
      <c r="E2354" s="5">
        <v>0</v>
      </c>
      <c r="F2354" s="5">
        <v>0</v>
      </c>
      <c r="G2354" s="5">
        <v>0</v>
      </c>
      <c r="H2354" s="4" t="s">
        <v>11</v>
      </c>
      <c r="I2354" s="5">
        <v>0</v>
      </c>
      <c r="J2354" s="4">
        <v>45916.294293981482</v>
      </c>
    </row>
    <row r="2355" spans="1:10" x14ac:dyDescent="0.2">
      <c r="A2355" s="2" t="s">
        <v>10</v>
      </c>
      <c r="B2355" s="3" t="str">
        <f t="shared" si="46"/>
        <v>France - HCP Survey Email - June 2025</v>
      </c>
      <c r="C2355" s="3" t="str">
        <f>HYPERLINK("https://otsuka-europe-crm.veevavault.com/ui/#object/sent_email__v/VBLZ025E82GNOW7", "SE-000274030")</f>
        <v>SE-000274030</v>
      </c>
      <c r="D2355" s="4" t="s">
        <v>11</v>
      </c>
      <c r="E2355" s="5">
        <v>0</v>
      </c>
      <c r="F2355" s="5">
        <v>0</v>
      </c>
      <c r="G2355" s="5">
        <v>0</v>
      </c>
      <c r="H2355" s="4" t="s">
        <v>11</v>
      </c>
      <c r="I2355" s="5">
        <v>0</v>
      </c>
      <c r="J2355" s="4">
        <v>45916.294988425929</v>
      </c>
    </row>
    <row r="2356" spans="1:10" x14ac:dyDescent="0.2">
      <c r="A2356" s="2" t="s">
        <v>10</v>
      </c>
      <c r="B2356" s="3" t="str">
        <f t="shared" si="46"/>
        <v>France - HCP Survey Email - June 2025</v>
      </c>
      <c r="C2356" s="3" t="str">
        <f>HYPERLINK("https://otsuka-europe-crm.veevavault.com/ui/#object/sent_email__v/VBLZ025E82GNOW8", "SE-000274031")</f>
        <v>SE-000274031</v>
      </c>
      <c r="D2356" s="4">
        <v>45917.419166666667</v>
      </c>
      <c r="E2356" s="5">
        <v>1</v>
      </c>
      <c r="F2356" s="5">
        <v>3</v>
      </c>
      <c r="G2356" s="5">
        <v>0</v>
      </c>
      <c r="H2356" s="4" t="s">
        <v>11</v>
      </c>
      <c r="I2356" s="5">
        <v>0</v>
      </c>
      <c r="J2356" s="4">
        <v>45916.294907407406</v>
      </c>
    </row>
    <row r="2357" spans="1:10" x14ac:dyDescent="0.2">
      <c r="A2357" s="2" t="s">
        <v>10</v>
      </c>
      <c r="B2357" s="3" t="str">
        <f t="shared" si="46"/>
        <v>France - HCP Survey Email - June 2025</v>
      </c>
      <c r="C2357" s="3" t="str">
        <f>HYPERLINK("https://otsuka-europe-crm.veevavault.com/ui/#object/sent_email__v/VBLZ025E82GNOW9", "SE-000274032")</f>
        <v>SE-000274032</v>
      </c>
      <c r="D2357" s="4">
        <v>45916.320752314816</v>
      </c>
      <c r="E2357" s="5">
        <v>1</v>
      </c>
      <c r="F2357" s="5">
        <v>1</v>
      </c>
      <c r="G2357" s="5">
        <v>0</v>
      </c>
      <c r="H2357" s="4" t="s">
        <v>11</v>
      </c>
      <c r="I2357" s="5">
        <v>0</v>
      </c>
      <c r="J2357" s="4">
        <v>45916.294537037036</v>
      </c>
    </row>
    <row r="2358" spans="1:10" x14ac:dyDescent="0.2">
      <c r="A2358" s="2" t="s">
        <v>10</v>
      </c>
      <c r="B2358" s="3" t="str">
        <f t="shared" si="46"/>
        <v>France - HCP Survey Email - June 2025</v>
      </c>
      <c r="C2358" s="3" t="str">
        <f>HYPERLINK("https://otsuka-europe-crm.veevavault.com/ui/#object/sent_email__v/VBLZ025E82GNOWA", "SE-000274033")</f>
        <v>SE-000274033</v>
      </c>
      <c r="D2358" s="4">
        <v>45916.564432870371</v>
      </c>
      <c r="E2358" s="5">
        <v>1</v>
      </c>
      <c r="F2358" s="5">
        <v>1</v>
      </c>
      <c r="G2358" s="5">
        <v>1</v>
      </c>
      <c r="H2358" s="4">
        <v>45916.565046296295</v>
      </c>
      <c r="I2358" s="5">
        <v>1</v>
      </c>
      <c r="J2358" s="4">
        <v>45916.294247685182</v>
      </c>
    </row>
    <row r="2359" spans="1:10" x14ac:dyDescent="0.2">
      <c r="A2359" s="2" t="s">
        <v>10</v>
      </c>
      <c r="B2359" s="3" t="str">
        <f t="shared" si="46"/>
        <v>France - HCP Survey Email - June 2025</v>
      </c>
      <c r="C2359" s="3" t="str">
        <f>HYPERLINK("https://otsuka-europe-crm.veevavault.com/ui/#object/sent_email__v/VBLZ025E82GNOWB", "SE-000274034")</f>
        <v>SE-000274034</v>
      </c>
      <c r="D2359" s="4">
        <v>45917.456099537034</v>
      </c>
      <c r="E2359" s="5">
        <v>1</v>
      </c>
      <c r="F2359" s="5">
        <v>1</v>
      </c>
      <c r="G2359" s="5">
        <v>0</v>
      </c>
      <c r="H2359" s="4" t="s">
        <v>11</v>
      </c>
      <c r="I2359" s="5">
        <v>0</v>
      </c>
      <c r="J2359" s="4">
        <v>45916.295057870368</v>
      </c>
    </row>
    <row r="2360" spans="1:10" x14ac:dyDescent="0.2">
      <c r="A2360" s="2" t="s">
        <v>10</v>
      </c>
      <c r="B2360" s="3" t="str">
        <f t="shared" si="46"/>
        <v>France - HCP Survey Email - June 2025</v>
      </c>
      <c r="C2360" s="3" t="str">
        <f>HYPERLINK("https://otsuka-europe-crm.veevavault.com/ui/#object/sent_email__v/VBLZ025E82GNOWC", "SE-000274035")</f>
        <v>SE-000274035</v>
      </c>
      <c r="D2360" s="4" t="s">
        <v>11</v>
      </c>
      <c r="E2360" s="5">
        <v>0</v>
      </c>
      <c r="F2360" s="5">
        <v>0</v>
      </c>
      <c r="G2360" s="5">
        <v>0</v>
      </c>
      <c r="H2360" s="4" t="s">
        <v>11</v>
      </c>
      <c r="I2360" s="5">
        <v>0</v>
      </c>
      <c r="J2360" s="4">
        <v>45916.294675925928</v>
      </c>
    </row>
    <row r="2361" spans="1:10" x14ac:dyDescent="0.2">
      <c r="A2361" s="2" t="s">
        <v>10</v>
      </c>
      <c r="B2361" s="3" t="str">
        <f t="shared" si="46"/>
        <v>France - HCP Survey Email - June 2025</v>
      </c>
      <c r="C2361" s="3" t="str">
        <f>HYPERLINK("https://otsuka-europe-crm.veevavault.com/ui/#object/sent_email__v/VBLZ025E82GNOWD", "SE-000274036")</f>
        <v>SE-000274036</v>
      </c>
      <c r="D2361" s="4" t="s">
        <v>11</v>
      </c>
      <c r="E2361" s="5">
        <v>0</v>
      </c>
      <c r="F2361" s="5">
        <v>0</v>
      </c>
      <c r="G2361" s="5">
        <v>0</v>
      </c>
      <c r="H2361" s="4" t="s">
        <v>11</v>
      </c>
      <c r="I2361" s="5">
        <v>0</v>
      </c>
      <c r="J2361" s="4">
        <v>45916.294421296298</v>
      </c>
    </row>
    <row r="2362" spans="1:10" x14ac:dyDescent="0.2">
      <c r="A2362" s="2" t="s">
        <v>10</v>
      </c>
      <c r="B2362" s="3" t="str">
        <f t="shared" si="46"/>
        <v>France - HCP Survey Email - June 2025</v>
      </c>
      <c r="C2362" s="3" t="str">
        <f>HYPERLINK("https://otsuka-europe-crm.veevavault.com/ui/#object/sent_email__v/VBLZ025E82GNOWE", "SE-000274037")</f>
        <v>SE-000274037</v>
      </c>
      <c r="D2362" s="4" t="s">
        <v>11</v>
      </c>
      <c r="E2362" s="5">
        <v>0</v>
      </c>
      <c r="F2362" s="5">
        <v>0</v>
      </c>
      <c r="G2362" s="5">
        <v>0</v>
      </c>
      <c r="H2362" s="4" t="s">
        <v>11</v>
      </c>
      <c r="I2362" s="5">
        <v>0</v>
      </c>
      <c r="J2362" s="4">
        <v>45916.294282407405</v>
      </c>
    </row>
    <row r="2363" spans="1:10" x14ac:dyDescent="0.2">
      <c r="A2363" s="2" t="s">
        <v>10</v>
      </c>
      <c r="B2363" s="3" t="str">
        <f t="shared" si="46"/>
        <v>France - HCP Survey Email - June 2025</v>
      </c>
      <c r="C2363" s="3" t="str">
        <f>HYPERLINK("https://otsuka-europe-crm.veevavault.com/ui/#object/sent_email__v/VBLZ025E82GNOWF", "SE-000274038")</f>
        <v>SE-000274038</v>
      </c>
      <c r="D2363" s="4" t="s">
        <v>11</v>
      </c>
      <c r="E2363" s="5">
        <v>0</v>
      </c>
      <c r="F2363" s="5">
        <v>0</v>
      </c>
      <c r="G2363" s="5">
        <v>0</v>
      </c>
      <c r="H2363" s="4" t="s">
        <v>11</v>
      </c>
      <c r="I2363" s="5">
        <v>0</v>
      </c>
      <c r="J2363" s="4">
        <v>45916.294872685183</v>
      </c>
    </row>
    <row r="2364" spans="1:10" x14ac:dyDescent="0.2">
      <c r="A2364" s="2" t="s">
        <v>10</v>
      </c>
      <c r="B2364" s="3" t="str">
        <f t="shared" si="46"/>
        <v>France - HCP Survey Email - June 2025</v>
      </c>
      <c r="C2364" s="3" t="str">
        <f>HYPERLINK("https://otsuka-europe-crm.veevavault.com/ui/#object/sent_email__v/VBLZ025E82GNOWG", "SE-000274039")</f>
        <v>SE-000274039</v>
      </c>
      <c r="D2364" s="4" t="s">
        <v>11</v>
      </c>
      <c r="E2364" s="5">
        <v>0</v>
      </c>
      <c r="F2364" s="5">
        <v>0</v>
      </c>
      <c r="G2364" s="5">
        <v>0</v>
      </c>
      <c r="H2364" s="4" t="s">
        <v>11</v>
      </c>
      <c r="I2364" s="5">
        <v>0</v>
      </c>
      <c r="J2364" s="4">
        <v>45916.294641203705</v>
      </c>
    </row>
    <row r="2365" spans="1:10" x14ac:dyDescent="0.2">
      <c r="A2365" s="2" t="s">
        <v>10</v>
      </c>
      <c r="B2365" s="3" t="str">
        <f t="shared" si="46"/>
        <v>France - HCP Survey Email - June 2025</v>
      </c>
      <c r="C2365" s="3" t="str">
        <f>HYPERLINK("https://otsuka-europe-crm.veevavault.com/ui/#object/sent_email__v/VBLZ025E82GNOWH", "SE-000274040")</f>
        <v>SE-000274040</v>
      </c>
      <c r="D2365" s="4">
        <v>45916.585752314815</v>
      </c>
      <c r="E2365" s="5">
        <v>1</v>
      </c>
      <c r="F2365" s="5">
        <v>1</v>
      </c>
      <c r="G2365" s="5">
        <v>0</v>
      </c>
      <c r="H2365" s="4" t="s">
        <v>11</v>
      </c>
      <c r="I2365" s="5">
        <v>0</v>
      </c>
      <c r="J2365" s="4">
        <v>45916.294374999998</v>
      </c>
    </row>
    <row r="2366" spans="1:10" x14ac:dyDescent="0.2">
      <c r="A2366" s="2" t="s">
        <v>10</v>
      </c>
      <c r="B2366" s="3" t="str">
        <f t="shared" si="46"/>
        <v>France - HCP Survey Email - June 2025</v>
      </c>
      <c r="C2366" s="3" t="str">
        <f>HYPERLINK("https://otsuka-europe-crm.veevavault.com/ui/#object/sent_email__v/VBLZ025E82GNOWI", "SE-000274041")</f>
        <v>SE-000274041</v>
      </c>
      <c r="D2366" s="4" t="s">
        <v>11</v>
      </c>
      <c r="E2366" s="5">
        <v>0</v>
      </c>
      <c r="F2366" s="5">
        <v>0</v>
      </c>
      <c r="G2366" s="5">
        <v>0</v>
      </c>
      <c r="H2366" s="4" t="s">
        <v>11</v>
      </c>
      <c r="I2366" s="5">
        <v>0</v>
      </c>
      <c r="J2366" s="4">
        <v>45916.294976851852</v>
      </c>
    </row>
    <row r="2367" spans="1:10" x14ac:dyDescent="0.2">
      <c r="A2367" s="2" t="s">
        <v>10</v>
      </c>
      <c r="B2367" s="3" t="str">
        <f t="shared" si="46"/>
        <v>France - HCP Survey Email - June 2025</v>
      </c>
      <c r="C2367" s="3" t="str">
        <f>HYPERLINK("https://otsuka-europe-crm.veevavault.com/ui/#object/sent_email__v/VBLZ025E82GNOWJ", "SE-000274042")</f>
        <v>SE-000274042</v>
      </c>
      <c r="D2367" s="4" t="s">
        <v>11</v>
      </c>
      <c r="E2367" s="5">
        <v>0</v>
      </c>
      <c r="F2367" s="5">
        <v>0</v>
      </c>
      <c r="G2367" s="5">
        <v>0</v>
      </c>
      <c r="H2367" s="4" t="s">
        <v>11</v>
      </c>
      <c r="I2367" s="5">
        <v>0</v>
      </c>
      <c r="J2367" s="4">
        <v>45916.294814814813</v>
      </c>
    </row>
    <row r="2368" spans="1:10" x14ac:dyDescent="0.2">
      <c r="A2368" s="2" t="s">
        <v>10</v>
      </c>
      <c r="B2368" s="3" t="str">
        <f t="shared" si="46"/>
        <v>France - HCP Survey Email - June 2025</v>
      </c>
      <c r="C2368" s="3" t="str">
        <f>HYPERLINK("https://otsuka-europe-crm.veevavault.com/ui/#object/sent_email__v/VBLZ025E82GNOWK", "SE-000274043")</f>
        <v>SE-000274043</v>
      </c>
      <c r="D2368" s="4">
        <v>45916.676874999997</v>
      </c>
      <c r="E2368" s="5">
        <v>1</v>
      </c>
      <c r="F2368" s="5">
        <v>2</v>
      </c>
      <c r="G2368" s="5">
        <v>0</v>
      </c>
      <c r="H2368" s="4" t="s">
        <v>11</v>
      </c>
      <c r="I2368" s="5">
        <v>0</v>
      </c>
      <c r="J2368" s="4">
        <v>45916.294537037036</v>
      </c>
    </row>
    <row r="2369" spans="1:10" x14ac:dyDescent="0.2">
      <c r="A2369" s="2" t="s">
        <v>10</v>
      </c>
      <c r="B2369" s="3" t="str">
        <f t="shared" ref="B2369:B2432" si="47">HYPERLINK("https://otsuka-europe-crm.veevavault.com/ui/#object/approved_document__v/V5OZ025E82TMV97", "France - HCP Survey Email - June 2025")</f>
        <v>France - HCP Survey Email - June 2025</v>
      </c>
      <c r="C2369" s="3" t="str">
        <f>HYPERLINK("https://otsuka-europe-crm.veevavault.com/ui/#object/sent_email__v/VBLZ025E82GNOWL", "SE-000274044")</f>
        <v>SE-000274044</v>
      </c>
      <c r="D2369" s="4">
        <v>45931.841203703705</v>
      </c>
      <c r="E2369" s="5">
        <v>1</v>
      </c>
      <c r="F2369" s="5">
        <v>2</v>
      </c>
      <c r="G2369" s="5">
        <v>0</v>
      </c>
      <c r="H2369" s="4" t="s">
        <v>11</v>
      </c>
      <c r="I2369" s="5">
        <v>0</v>
      </c>
      <c r="J2369" s="4">
        <v>45916.294317129628</v>
      </c>
    </row>
    <row r="2370" spans="1:10" x14ac:dyDescent="0.2">
      <c r="A2370" s="2" t="s">
        <v>10</v>
      </c>
      <c r="B2370" s="3" t="str">
        <f t="shared" si="47"/>
        <v>France - HCP Survey Email - June 2025</v>
      </c>
      <c r="C2370" s="3" t="str">
        <f>HYPERLINK("https://otsuka-europe-crm.veevavault.com/ui/#object/sent_email__v/VBLZ025E82GNOWM", "SE-000274045")</f>
        <v>SE-000274045</v>
      </c>
      <c r="D2370" s="4" t="s">
        <v>11</v>
      </c>
      <c r="E2370" s="5">
        <v>0</v>
      </c>
      <c r="F2370" s="5">
        <v>0</v>
      </c>
      <c r="G2370" s="5">
        <v>0</v>
      </c>
      <c r="H2370" s="4" t="s">
        <v>11</v>
      </c>
      <c r="I2370" s="5">
        <v>0</v>
      </c>
      <c r="J2370" s="4">
        <v>45916.294872685183</v>
      </c>
    </row>
    <row r="2371" spans="1:10" x14ac:dyDescent="0.2">
      <c r="A2371" s="2" t="s">
        <v>10</v>
      </c>
      <c r="B2371" s="3" t="str">
        <f t="shared" si="47"/>
        <v>France - HCP Survey Email - June 2025</v>
      </c>
      <c r="C2371" s="3" t="str">
        <f>HYPERLINK("https://otsuka-europe-crm.veevavault.com/ui/#object/sent_email__v/VBLZ025E82GNOWN", "SE-000274046")</f>
        <v>SE-000274046</v>
      </c>
      <c r="D2371" s="4" t="s">
        <v>11</v>
      </c>
      <c r="E2371" s="5">
        <v>0</v>
      </c>
      <c r="F2371" s="5">
        <v>0</v>
      </c>
      <c r="G2371" s="5">
        <v>0</v>
      </c>
      <c r="H2371" s="4" t="s">
        <v>11</v>
      </c>
      <c r="I2371" s="5">
        <v>0</v>
      </c>
      <c r="J2371" s="4">
        <v>45916.294687499998</v>
      </c>
    </row>
    <row r="2372" spans="1:10" x14ac:dyDescent="0.2">
      <c r="A2372" s="2" t="s">
        <v>10</v>
      </c>
      <c r="B2372" s="3" t="str">
        <f t="shared" si="47"/>
        <v>France - HCP Survey Email - June 2025</v>
      </c>
      <c r="C2372" s="3" t="str">
        <f>HYPERLINK("https://otsuka-europe-crm.veevavault.com/ui/#object/sent_email__v/VBLZ025E82GNOWO", "SE-000274047")</f>
        <v>SE-000274047</v>
      </c>
      <c r="D2372" s="4" t="s">
        <v>11</v>
      </c>
      <c r="E2372" s="5">
        <v>0</v>
      </c>
      <c r="F2372" s="5">
        <v>0</v>
      </c>
      <c r="G2372" s="5">
        <v>0</v>
      </c>
      <c r="H2372" s="4" t="s">
        <v>11</v>
      </c>
      <c r="I2372" s="5">
        <v>0</v>
      </c>
      <c r="J2372" s="4">
        <v>45916.294456018521</v>
      </c>
    </row>
    <row r="2373" spans="1:10" x14ac:dyDescent="0.2">
      <c r="A2373" s="2" t="s">
        <v>10</v>
      </c>
      <c r="B2373" s="3" t="str">
        <f t="shared" si="47"/>
        <v>France - HCP Survey Email - June 2025</v>
      </c>
      <c r="C2373" s="3" t="str">
        <f>HYPERLINK("https://otsuka-europe-crm.veevavault.com/ui/#object/sent_email__v/VBLZ025E82GNOWQ", "SE-000274049")</f>
        <v>SE-000274049</v>
      </c>
      <c r="D2373" s="4" t="s">
        <v>11</v>
      </c>
      <c r="E2373" s="5">
        <v>0</v>
      </c>
      <c r="F2373" s="5">
        <v>0</v>
      </c>
      <c r="G2373" s="5">
        <v>0</v>
      </c>
      <c r="H2373" s="4" t="s">
        <v>11</v>
      </c>
      <c r="I2373" s="5">
        <v>0</v>
      </c>
      <c r="J2373" s="4">
        <v>45916.294918981483</v>
      </c>
    </row>
    <row r="2374" spans="1:10" x14ac:dyDescent="0.2">
      <c r="A2374" s="2" t="s">
        <v>10</v>
      </c>
      <c r="B2374" s="3" t="str">
        <f t="shared" si="47"/>
        <v>France - HCP Survey Email - June 2025</v>
      </c>
      <c r="C2374" s="3" t="str">
        <f>HYPERLINK("https://otsuka-europe-crm.veevavault.com/ui/#object/sent_email__v/VBLZ025E82GNOWR", "SE-000274050")</f>
        <v>SE-000274050</v>
      </c>
      <c r="D2374" s="4" t="s">
        <v>11</v>
      </c>
      <c r="E2374" s="5">
        <v>0</v>
      </c>
      <c r="F2374" s="5">
        <v>0</v>
      </c>
      <c r="G2374" s="5">
        <v>0</v>
      </c>
      <c r="H2374" s="4" t="s">
        <v>11</v>
      </c>
      <c r="I2374" s="5">
        <v>0</v>
      </c>
      <c r="J2374" s="4">
        <v>45916.294687499998</v>
      </c>
    </row>
    <row r="2375" spans="1:10" x14ac:dyDescent="0.2">
      <c r="A2375" s="2" t="s">
        <v>10</v>
      </c>
      <c r="B2375" s="3" t="str">
        <f t="shared" si="47"/>
        <v>France - HCP Survey Email - June 2025</v>
      </c>
      <c r="C2375" s="3" t="str">
        <f>HYPERLINK("https://otsuka-europe-crm.veevavault.com/ui/#object/sent_email__v/VBLZ025E82GNOWS", "SE-000274051")</f>
        <v>SE-000274051</v>
      </c>
      <c r="D2375" s="4">
        <v>45927.452037037037</v>
      </c>
      <c r="E2375" s="5">
        <v>1</v>
      </c>
      <c r="F2375" s="5">
        <v>1</v>
      </c>
      <c r="G2375" s="5">
        <v>0</v>
      </c>
      <c r="H2375" s="4" t="s">
        <v>11</v>
      </c>
      <c r="I2375" s="5">
        <v>0</v>
      </c>
      <c r="J2375" s="4">
        <v>45916.294340277775</v>
      </c>
    </row>
    <row r="2376" spans="1:10" x14ac:dyDescent="0.2">
      <c r="A2376" s="2" t="s">
        <v>10</v>
      </c>
      <c r="B2376" s="3" t="str">
        <f t="shared" si="47"/>
        <v>France - HCP Survey Email - June 2025</v>
      </c>
      <c r="C2376" s="3" t="str">
        <f>HYPERLINK("https://otsuka-europe-crm.veevavault.com/ui/#object/sent_email__v/VBLZ025E82GNOWT", "SE-000274052")</f>
        <v>SE-000274052</v>
      </c>
      <c r="D2376" s="4" t="s">
        <v>11</v>
      </c>
      <c r="E2376" s="5">
        <v>0</v>
      </c>
      <c r="F2376" s="5">
        <v>0</v>
      </c>
      <c r="G2376" s="5">
        <v>0</v>
      </c>
      <c r="H2376" s="4" t="s">
        <v>11</v>
      </c>
      <c r="I2376" s="5">
        <v>0</v>
      </c>
      <c r="J2376" s="4">
        <v>45916.294999999998</v>
      </c>
    </row>
    <row r="2377" spans="1:10" x14ac:dyDescent="0.2">
      <c r="A2377" s="2" t="s">
        <v>10</v>
      </c>
      <c r="B2377" s="3" t="str">
        <f t="shared" si="47"/>
        <v>France - HCP Survey Email - June 2025</v>
      </c>
      <c r="C2377" s="3" t="str">
        <f>HYPERLINK("https://otsuka-europe-crm.veevavault.com/ui/#object/sent_email__v/VBLZ025E82GNOWU", "SE-000274053")</f>
        <v>SE-000274053</v>
      </c>
      <c r="D2377" s="4" t="s">
        <v>11</v>
      </c>
      <c r="E2377" s="5">
        <v>0</v>
      </c>
      <c r="F2377" s="5">
        <v>0</v>
      </c>
      <c r="G2377" s="5">
        <v>0</v>
      </c>
      <c r="H2377" s="4" t="s">
        <v>11</v>
      </c>
      <c r="I2377" s="5">
        <v>0</v>
      </c>
      <c r="J2377" s="4">
        <v>45916.294756944444</v>
      </c>
    </row>
    <row r="2378" spans="1:10" x14ac:dyDescent="0.2">
      <c r="A2378" s="2" t="s">
        <v>10</v>
      </c>
      <c r="B2378" s="3" t="str">
        <f t="shared" si="47"/>
        <v>France - HCP Survey Email - June 2025</v>
      </c>
      <c r="C2378" s="3" t="str">
        <f>HYPERLINK("https://otsuka-europe-crm.veevavault.com/ui/#object/sent_email__v/VBLZ025E82GNOWV", "SE-000274054")</f>
        <v>SE-000274054</v>
      </c>
      <c r="D2378" s="4" t="s">
        <v>11</v>
      </c>
      <c r="E2378" s="5">
        <v>0</v>
      </c>
      <c r="F2378" s="5">
        <v>0</v>
      </c>
      <c r="G2378" s="5">
        <v>0</v>
      </c>
      <c r="H2378" s="4" t="s">
        <v>11</v>
      </c>
      <c r="I2378" s="5">
        <v>0</v>
      </c>
      <c r="J2378" s="4">
        <v>45916.294525462959</v>
      </c>
    </row>
    <row r="2379" spans="1:10" x14ac:dyDescent="0.2">
      <c r="A2379" s="2" t="s">
        <v>10</v>
      </c>
      <c r="B2379" s="3" t="str">
        <f t="shared" si="47"/>
        <v>France - HCP Survey Email - June 2025</v>
      </c>
      <c r="C2379" s="3" t="str">
        <f>HYPERLINK("https://otsuka-europe-crm.veevavault.com/ui/#object/sent_email__v/VBLZ025E82GNOWW", "SE-000274055")</f>
        <v>SE-000274055</v>
      </c>
      <c r="D2379" s="4" t="s">
        <v>11</v>
      </c>
      <c r="E2379" s="5">
        <v>0</v>
      </c>
      <c r="F2379" s="5">
        <v>0</v>
      </c>
      <c r="G2379" s="5">
        <v>0</v>
      </c>
      <c r="H2379" s="4" t="s">
        <v>11</v>
      </c>
      <c r="I2379" s="5">
        <v>0</v>
      </c>
      <c r="J2379" s="4">
        <v>45916.294328703705</v>
      </c>
    </row>
    <row r="2380" spans="1:10" x14ac:dyDescent="0.2">
      <c r="A2380" s="2" t="s">
        <v>10</v>
      </c>
      <c r="B2380" s="3" t="str">
        <f t="shared" si="47"/>
        <v>France - HCP Survey Email - June 2025</v>
      </c>
      <c r="C2380" s="3" t="str">
        <f>HYPERLINK("https://otsuka-europe-crm.veevavault.com/ui/#object/sent_email__v/VBLZ025E82GNOWX", "SE-000274056")</f>
        <v>SE-000274056</v>
      </c>
      <c r="D2380" s="4">
        <v>45916.752685185187</v>
      </c>
      <c r="E2380" s="5">
        <v>1</v>
      </c>
      <c r="F2380" s="5">
        <v>2</v>
      </c>
      <c r="G2380" s="5">
        <v>0</v>
      </c>
      <c r="H2380" s="4" t="s">
        <v>11</v>
      </c>
      <c r="I2380" s="5">
        <v>0</v>
      </c>
      <c r="J2380" s="4">
        <v>45916.294872685183</v>
      </c>
    </row>
    <row r="2381" spans="1:10" x14ac:dyDescent="0.2">
      <c r="A2381" s="2" t="s">
        <v>10</v>
      </c>
      <c r="B2381" s="3" t="str">
        <f t="shared" si="47"/>
        <v>France - HCP Survey Email - June 2025</v>
      </c>
      <c r="C2381" s="3" t="str">
        <f>HYPERLINK("https://otsuka-europe-crm.veevavault.com/ui/#object/sent_email__v/VBLZ025E82GNOWY", "SE-000274057")</f>
        <v>SE-000274057</v>
      </c>
      <c r="D2381" s="4">
        <v>45916.307766203703</v>
      </c>
      <c r="E2381" s="5">
        <v>1</v>
      </c>
      <c r="F2381" s="5">
        <v>1</v>
      </c>
      <c r="G2381" s="5">
        <v>0</v>
      </c>
      <c r="H2381" s="4" t="s">
        <v>11</v>
      </c>
      <c r="I2381" s="5">
        <v>0</v>
      </c>
      <c r="J2381" s="4">
        <v>45916.294999999998</v>
      </c>
    </row>
    <row r="2382" spans="1:10" x14ac:dyDescent="0.2">
      <c r="A2382" s="2" t="s">
        <v>10</v>
      </c>
      <c r="B2382" s="3" t="str">
        <f t="shared" si="47"/>
        <v>France - HCP Survey Email - June 2025</v>
      </c>
      <c r="C2382" s="3" t="str">
        <f>HYPERLINK("https://otsuka-europe-crm.veevavault.com/ui/#object/sent_email__v/VBLZ025E82GNOWZ", "SE-000274058")</f>
        <v>SE-000274058</v>
      </c>
      <c r="D2382" s="4" t="s">
        <v>11</v>
      </c>
      <c r="E2382" s="5">
        <v>0</v>
      </c>
      <c r="F2382" s="5">
        <v>0</v>
      </c>
      <c r="G2382" s="5">
        <v>0</v>
      </c>
      <c r="H2382" s="4" t="s">
        <v>11</v>
      </c>
      <c r="I2382" s="5">
        <v>0</v>
      </c>
      <c r="J2382" s="4">
        <v>45916.294687499998</v>
      </c>
    </row>
    <row r="2383" spans="1:10" x14ac:dyDescent="0.2">
      <c r="A2383" s="2" t="s">
        <v>10</v>
      </c>
      <c r="B2383" s="3" t="str">
        <f t="shared" si="47"/>
        <v>France - HCP Survey Email - June 2025</v>
      </c>
      <c r="C2383" s="3" t="str">
        <f>HYPERLINK("https://otsuka-europe-crm.veevavault.com/ui/#object/sent_email__v/VBLZ025E82GNOX0", "SE-000274059")</f>
        <v>SE-000274059</v>
      </c>
      <c r="D2383" s="4">
        <v>45938.057546296295</v>
      </c>
      <c r="E2383" s="5">
        <v>1</v>
      </c>
      <c r="F2383" s="5">
        <v>1</v>
      </c>
      <c r="G2383" s="5">
        <v>0</v>
      </c>
      <c r="H2383" s="4" t="s">
        <v>11</v>
      </c>
      <c r="I2383" s="5">
        <v>0</v>
      </c>
      <c r="J2383" s="4">
        <v>45916.294537037036</v>
      </c>
    </row>
    <row r="2384" spans="1:10" x14ac:dyDescent="0.2">
      <c r="A2384" s="2" t="s">
        <v>10</v>
      </c>
      <c r="B2384" s="3" t="str">
        <f t="shared" si="47"/>
        <v>France - HCP Survey Email - June 2025</v>
      </c>
      <c r="C2384" s="3" t="str">
        <f>HYPERLINK("https://otsuka-europe-crm.veevavault.com/ui/#object/sent_email__v/VBLZ025E82GNOX1", "SE-000274060")</f>
        <v>SE-000274060</v>
      </c>
      <c r="D2384" s="4" t="s">
        <v>11</v>
      </c>
      <c r="E2384" s="5">
        <v>0</v>
      </c>
      <c r="F2384" s="5">
        <v>0</v>
      </c>
      <c r="G2384" s="5">
        <v>0</v>
      </c>
      <c r="H2384" s="4" t="s">
        <v>11</v>
      </c>
      <c r="I2384" s="5">
        <v>0</v>
      </c>
      <c r="J2384" s="4">
        <v>45916.294293981482</v>
      </c>
    </row>
    <row r="2385" spans="1:10" x14ac:dyDescent="0.2">
      <c r="A2385" s="2" t="s">
        <v>10</v>
      </c>
      <c r="B2385" s="3" t="str">
        <f t="shared" si="47"/>
        <v>France - HCP Survey Email - June 2025</v>
      </c>
      <c r="C2385" s="3" t="str">
        <f>HYPERLINK("https://otsuka-europe-crm.veevavault.com/ui/#object/sent_email__v/VBLZ025E82GNOX2", "SE-000274061")</f>
        <v>SE-000274061</v>
      </c>
      <c r="D2385" s="4" t="s">
        <v>11</v>
      </c>
      <c r="E2385" s="5">
        <v>0</v>
      </c>
      <c r="F2385" s="5">
        <v>0</v>
      </c>
      <c r="G2385" s="5">
        <v>0</v>
      </c>
      <c r="H2385" s="4" t="s">
        <v>11</v>
      </c>
      <c r="I2385" s="5">
        <v>0</v>
      </c>
      <c r="J2385" s="4">
        <v>45916.294861111113</v>
      </c>
    </row>
    <row r="2386" spans="1:10" x14ac:dyDescent="0.2">
      <c r="A2386" s="2" t="s">
        <v>10</v>
      </c>
      <c r="B2386" s="3" t="str">
        <f t="shared" si="47"/>
        <v>France - HCP Survey Email - June 2025</v>
      </c>
      <c r="C2386" s="3" t="str">
        <f>HYPERLINK("https://otsuka-europe-crm.veevavault.com/ui/#object/sent_email__v/VBLZ025E82GNOX3", "SE-000274062")</f>
        <v>SE-000274062</v>
      </c>
      <c r="D2386" s="4" t="s">
        <v>11</v>
      </c>
      <c r="E2386" s="5">
        <v>0</v>
      </c>
      <c r="F2386" s="5">
        <v>0</v>
      </c>
      <c r="G2386" s="5">
        <v>0</v>
      </c>
      <c r="H2386" s="4" t="s">
        <v>11</v>
      </c>
      <c r="I2386" s="5">
        <v>0</v>
      </c>
      <c r="J2386" s="4">
        <v>45916.294629629629</v>
      </c>
    </row>
    <row r="2387" spans="1:10" x14ac:dyDescent="0.2">
      <c r="A2387" s="2" t="s">
        <v>10</v>
      </c>
      <c r="B2387" s="3" t="str">
        <f t="shared" si="47"/>
        <v>France - HCP Survey Email - June 2025</v>
      </c>
      <c r="C2387" s="3" t="str">
        <f>HYPERLINK("https://otsuka-europe-crm.veevavault.com/ui/#object/sent_email__v/VBLZ025E82GNOX4", "SE-000274063")</f>
        <v>SE-000274063</v>
      </c>
      <c r="D2387" s="4" t="s">
        <v>11</v>
      </c>
      <c r="E2387" s="5">
        <v>0</v>
      </c>
      <c r="F2387" s="5">
        <v>0</v>
      </c>
      <c r="G2387" s="5">
        <v>0</v>
      </c>
      <c r="H2387" s="4" t="s">
        <v>11</v>
      </c>
      <c r="I2387" s="5">
        <v>0</v>
      </c>
      <c r="J2387" s="4">
        <v>45916.294374999998</v>
      </c>
    </row>
    <row r="2388" spans="1:10" x14ac:dyDescent="0.2">
      <c r="A2388" s="2" t="s">
        <v>10</v>
      </c>
      <c r="B2388" s="3" t="str">
        <f t="shared" si="47"/>
        <v>France - HCP Survey Email - June 2025</v>
      </c>
      <c r="C2388" s="3" t="str">
        <f>HYPERLINK("https://otsuka-europe-crm.veevavault.com/ui/#object/sent_email__v/VBLZ025E82GNOX5", "SE-000274064")</f>
        <v>SE-000274064</v>
      </c>
      <c r="D2388" s="4">
        <v>45916.499224537038</v>
      </c>
      <c r="E2388" s="5">
        <v>1</v>
      </c>
      <c r="F2388" s="5">
        <v>1</v>
      </c>
      <c r="G2388" s="5">
        <v>0</v>
      </c>
      <c r="H2388" s="4" t="s">
        <v>11</v>
      </c>
      <c r="I2388" s="5">
        <v>0</v>
      </c>
      <c r="J2388" s="4">
        <v>45916.294212962966</v>
      </c>
    </row>
    <row r="2389" spans="1:10" x14ac:dyDescent="0.2">
      <c r="A2389" s="2" t="s">
        <v>10</v>
      </c>
      <c r="B2389" s="3" t="str">
        <f t="shared" si="47"/>
        <v>France - HCP Survey Email - June 2025</v>
      </c>
      <c r="C2389" s="3" t="str">
        <f>HYPERLINK("https://otsuka-europe-crm.veevavault.com/ui/#object/sent_email__v/VBLZ025E82GNOX6", "SE-000274065")</f>
        <v>SE-000274065</v>
      </c>
      <c r="D2389" s="4" t="s">
        <v>11</v>
      </c>
      <c r="E2389" s="5">
        <v>0</v>
      </c>
      <c r="F2389" s="5">
        <v>0</v>
      </c>
      <c r="G2389" s="5">
        <v>0</v>
      </c>
      <c r="H2389" s="4" t="s">
        <v>11</v>
      </c>
      <c r="I2389" s="5">
        <v>0</v>
      </c>
      <c r="J2389" s="4">
        <v>45916.294861111113</v>
      </c>
    </row>
    <row r="2390" spans="1:10" x14ac:dyDescent="0.2">
      <c r="A2390" s="2" t="s">
        <v>10</v>
      </c>
      <c r="B2390" s="3" t="str">
        <f t="shared" si="47"/>
        <v>France - HCP Survey Email - June 2025</v>
      </c>
      <c r="C2390" s="3" t="str">
        <f>HYPERLINK("https://otsuka-europe-crm.veevavault.com/ui/#object/sent_email__v/VBLZ025E82GNOX7", "SE-000274066")</f>
        <v>SE-000274066</v>
      </c>
      <c r="D2390" s="4">
        <v>45917.547395833331</v>
      </c>
      <c r="E2390" s="5">
        <v>1</v>
      </c>
      <c r="F2390" s="5">
        <v>1</v>
      </c>
      <c r="G2390" s="5">
        <v>0</v>
      </c>
      <c r="H2390" s="4" t="s">
        <v>11</v>
      </c>
      <c r="I2390" s="5">
        <v>0</v>
      </c>
      <c r="J2390" s="4">
        <v>45916.294537037036</v>
      </c>
    </row>
    <row r="2391" spans="1:10" x14ac:dyDescent="0.2">
      <c r="A2391" s="2" t="s">
        <v>10</v>
      </c>
      <c r="B2391" s="3" t="str">
        <f t="shared" si="47"/>
        <v>France - HCP Survey Email - June 2025</v>
      </c>
      <c r="C2391" s="3" t="str">
        <f>HYPERLINK("https://otsuka-europe-crm.veevavault.com/ui/#object/sent_email__v/VBLZ025E82GNOX8", "SE-000274067")</f>
        <v>SE-000274067</v>
      </c>
      <c r="D2391" s="4" t="s">
        <v>11</v>
      </c>
      <c r="E2391" s="5">
        <v>0</v>
      </c>
      <c r="F2391" s="5">
        <v>0</v>
      </c>
      <c r="G2391" s="5">
        <v>0</v>
      </c>
      <c r="H2391" s="4" t="s">
        <v>11</v>
      </c>
      <c r="I2391" s="5">
        <v>0</v>
      </c>
      <c r="J2391" s="4">
        <v>45916.294340277775</v>
      </c>
    </row>
    <row r="2392" spans="1:10" x14ac:dyDescent="0.2">
      <c r="A2392" s="2" t="s">
        <v>10</v>
      </c>
      <c r="B2392" s="3" t="str">
        <f t="shared" si="47"/>
        <v>France - HCP Survey Email - June 2025</v>
      </c>
      <c r="C2392" s="3" t="str">
        <f>HYPERLINK("https://otsuka-europe-crm.veevavault.com/ui/#object/sent_email__v/VBLZ025E82GNOX9", "SE-000274068")</f>
        <v>SE-000274068</v>
      </c>
      <c r="D2392" s="4" t="s">
        <v>11</v>
      </c>
      <c r="E2392" s="5">
        <v>0</v>
      </c>
      <c r="F2392" s="5">
        <v>0</v>
      </c>
      <c r="G2392" s="5">
        <v>0</v>
      </c>
      <c r="H2392" s="4" t="s">
        <v>11</v>
      </c>
      <c r="I2392" s="5">
        <v>0</v>
      </c>
      <c r="J2392" s="4">
        <v>45916.295069444444</v>
      </c>
    </row>
    <row r="2393" spans="1:10" x14ac:dyDescent="0.2">
      <c r="A2393" s="2" t="s">
        <v>10</v>
      </c>
      <c r="B2393" s="3" t="str">
        <f t="shared" si="47"/>
        <v>France - HCP Survey Email - June 2025</v>
      </c>
      <c r="C2393" s="3" t="str">
        <f>HYPERLINK("https://otsuka-europe-crm.veevavault.com/ui/#object/sent_email__v/VBLZ025E82GNOXA", "SE-000274069")</f>
        <v>SE-000274069</v>
      </c>
      <c r="D2393" s="4" t="s">
        <v>11</v>
      </c>
      <c r="E2393" s="5">
        <v>0</v>
      </c>
      <c r="F2393" s="5">
        <v>0</v>
      </c>
      <c r="G2393" s="5">
        <v>0</v>
      </c>
      <c r="H2393" s="4" t="s">
        <v>11</v>
      </c>
      <c r="I2393" s="5">
        <v>0</v>
      </c>
      <c r="J2393" s="4">
        <v>45916.294803240744</v>
      </c>
    </row>
    <row r="2394" spans="1:10" x14ac:dyDescent="0.2">
      <c r="A2394" s="2" t="s">
        <v>10</v>
      </c>
      <c r="B2394" s="3" t="str">
        <f t="shared" si="47"/>
        <v>France - HCP Survey Email - June 2025</v>
      </c>
      <c r="C2394" s="3" t="str">
        <f>HYPERLINK("https://otsuka-europe-crm.veevavault.com/ui/#object/sent_email__v/VBLZ025E82GNOXB", "SE-000274070")</f>
        <v>SE-000274070</v>
      </c>
      <c r="D2394" s="4">
        <v>46037.993449074071</v>
      </c>
      <c r="E2394" s="5">
        <v>1</v>
      </c>
      <c r="F2394" s="5">
        <v>1</v>
      </c>
      <c r="G2394" s="5">
        <v>0</v>
      </c>
      <c r="H2394" s="4" t="s">
        <v>11</v>
      </c>
      <c r="I2394" s="5">
        <v>0</v>
      </c>
      <c r="J2394" s="4">
        <v>45916.294456018521</v>
      </c>
    </row>
    <row r="2395" spans="1:10" x14ac:dyDescent="0.2">
      <c r="A2395" s="2" t="s">
        <v>10</v>
      </c>
      <c r="B2395" s="3" t="str">
        <f t="shared" si="47"/>
        <v>France - HCP Survey Email - June 2025</v>
      </c>
      <c r="C2395" s="3" t="str">
        <f>HYPERLINK("https://otsuka-europe-crm.veevavault.com/ui/#object/sent_email__v/VBLZ025E82GNOXC", "SE-000274071")</f>
        <v>SE-000274071</v>
      </c>
      <c r="D2395" s="4" t="s">
        <v>11</v>
      </c>
      <c r="E2395" s="5">
        <v>0</v>
      </c>
      <c r="F2395" s="5">
        <v>0</v>
      </c>
      <c r="G2395" s="5">
        <v>0</v>
      </c>
      <c r="H2395" s="4" t="s">
        <v>11</v>
      </c>
      <c r="I2395" s="5">
        <v>0</v>
      </c>
      <c r="J2395" s="4">
        <v>45916.294305555559</v>
      </c>
    </row>
    <row r="2396" spans="1:10" x14ac:dyDescent="0.2">
      <c r="A2396" s="2" t="s">
        <v>10</v>
      </c>
      <c r="B2396" s="3" t="str">
        <f t="shared" si="47"/>
        <v>France - HCP Survey Email - June 2025</v>
      </c>
      <c r="C2396" s="3" t="str">
        <f>HYPERLINK("https://otsuka-europe-crm.veevavault.com/ui/#object/sent_email__v/VBLZ025E82GNOXD", "SE-000274072")</f>
        <v>SE-000274072</v>
      </c>
      <c r="D2396" s="4" t="s">
        <v>11</v>
      </c>
      <c r="E2396" s="5">
        <v>0</v>
      </c>
      <c r="F2396" s="5">
        <v>0</v>
      </c>
      <c r="G2396" s="5">
        <v>0</v>
      </c>
      <c r="H2396" s="4" t="s">
        <v>11</v>
      </c>
      <c r="I2396" s="5">
        <v>0</v>
      </c>
      <c r="J2396" s="4">
        <v>45916.294953703706</v>
      </c>
    </row>
    <row r="2397" spans="1:10" x14ac:dyDescent="0.2">
      <c r="A2397" s="2" t="s">
        <v>10</v>
      </c>
      <c r="B2397" s="3" t="str">
        <f t="shared" si="47"/>
        <v>France - HCP Survey Email - June 2025</v>
      </c>
      <c r="C2397" s="3" t="str">
        <f>HYPERLINK("https://otsuka-europe-crm.veevavault.com/ui/#object/sent_email__v/VBLZ025E82GNOXE", "SE-000274073")</f>
        <v>SE-000274073</v>
      </c>
      <c r="D2397" s="4" t="s">
        <v>11</v>
      </c>
      <c r="E2397" s="5">
        <v>0</v>
      </c>
      <c r="F2397" s="5">
        <v>0</v>
      </c>
      <c r="G2397" s="5">
        <v>0</v>
      </c>
      <c r="H2397" s="4" t="s">
        <v>11</v>
      </c>
      <c r="I2397" s="5">
        <v>0</v>
      </c>
      <c r="J2397" s="4">
        <v>45916.294618055559</v>
      </c>
    </row>
    <row r="2398" spans="1:10" x14ac:dyDescent="0.2">
      <c r="A2398" s="2" t="s">
        <v>10</v>
      </c>
      <c r="B2398" s="3" t="str">
        <f t="shared" si="47"/>
        <v>France - HCP Survey Email - June 2025</v>
      </c>
      <c r="C2398" s="3" t="str">
        <f>HYPERLINK("https://otsuka-europe-crm.veevavault.com/ui/#object/sent_email__v/VBLZ025E82GNOXF", "SE-000274074")</f>
        <v>SE-000274074</v>
      </c>
      <c r="D2398" s="4" t="s">
        <v>11</v>
      </c>
      <c r="E2398" s="5">
        <v>0</v>
      </c>
      <c r="F2398" s="5">
        <v>0</v>
      </c>
      <c r="G2398" s="5">
        <v>0</v>
      </c>
      <c r="H2398" s="4" t="s">
        <v>11</v>
      </c>
      <c r="I2398" s="5">
        <v>0</v>
      </c>
      <c r="J2398" s="4">
        <v>45916.294398148151</v>
      </c>
    </row>
    <row r="2399" spans="1:10" x14ac:dyDescent="0.2">
      <c r="A2399" s="2" t="s">
        <v>10</v>
      </c>
      <c r="B2399" s="3" t="str">
        <f t="shared" si="47"/>
        <v>France - HCP Survey Email - June 2025</v>
      </c>
      <c r="C2399" s="3" t="str">
        <f>HYPERLINK("https://otsuka-europe-crm.veevavault.com/ui/#object/sent_email__v/VBLZ025E82GNOXG", "SE-000274075")</f>
        <v>SE-000274075</v>
      </c>
      <c r="D2399" s="4">
        <v>45917.586701388886</v>
      </c>
      <c r="E2399" s="5">
        <v>1</v>
      </c>
      <c r="F2399" s="5">
        <v>1</v>
      </c>
      <c r="G2399" s="5">
        <v>1</v>
      </c>
      <c r="H2399" s="4">
        <v>45917.586701388886</v>
      </c>
      <c r="I2399" s="5">
        <v>1</v>
      </c>
      <c r="J2399" s="4">
        <v>45916.294282407405</v>
      </c>
    </row>
    <row r="2400" spans="1:10" x14ac:dyDescent="0.2">
      <c r="A2400" s="2" t="s">
        <v>10</v>
      </c>
      <c r="B2400" s="3" t="str">
        <f t="shared" si="47"/>
        <v>France - HCP Survey Email - June 2025</v>
      </c>
      <c r="C2400" s="3" t="str">
        <f>HYPERLINK("https://otsuka-europe-crm.veevavault.com/ui/#object/sent_email__v/VBLZ025E82GNOXH", "SE-000274076")</f>
        <v>SE-000274076</v>
      </c>
      <c r="D2400" s="4" t="s">
        <v>11</v>
      </c>
      <c r="E2400" s="5">
        <v>0</v>
      </c>
      <c r="F2400" s="5">
        <v>0</v>
      </c>
      <c r="G2400" s="5">
        <v>0</v>
      </c>
      <c r="H2400" s="4" t="s">
        <v>11</v>
      </c>
      <c r="I2400" s="5">
        <v>0</v>
      </c>
      <c r="J2400" s="4">
        <v>45916.294942129629</v>
      </c>
    </row>
    <row r="2401" spans="1:10" x14ac:dyDescent="0.2">
      <c r="A2401" s="2" t="s">
        <v>10</v>
      </c>
      <c r="B2401" s="3" t="str">
        <f t="shared" si="47"/>
        <v>France - HCP Survey Email - June 2025</v>
      </c>
      <c r="C2401" s="3" t="str">
        <f>HYPERLINK("https://otsuka-europe-crm.veevavault.com/ui/#object/sent_email__v/VBLZ025E82GNOXI", "SE-000274077")</f>
        <v>SE-000274077</v>
      </c>
      <c r="D2401" s="4">
        <v>45916.312743055554</v>
      </c>
      <c r="E2401" s="5">
        <v>1</v>
      </c>
      <c r="F2401" s="5">
        <v>1</v>
      </c>
      <c r="G2401" s="5">
        <v>0</v>
      </c>
      <c r="H2401" s="4" t="s">
        <v>11</v>
      </c>
      <c r="I2401" s="5">
        <v>0</v>
      </c>
      <c r="J2401" s="4">
        <v>45916.294594907406</v>
      </c>
    </row>
    <row r="2402" spans="1:10" x14ac:dyDescent="0.2">
      <c r="A2402" s="2" t="s">
        <v>10</v>
      </c>
      <c r="B2402" s="3" t="str">
        <f t="shared" si="47"/>
        <v>France - HCP Survey Email - June 2025</v>
      </c>
      <c r="C2402" s="3" t="str">
        <f>HYPERLINK("https://otsuka-europe-crm.veevavault.com/ui/#object/sent_email__v/VBLZ025E82GNOXJ", "SE-000274078")</f>
        <v>SE-000274078</v>
      </c>
      <c r="D2402" s="4" t="s">
        <v>11</v>
      </c>
      <c r="E2402" s="5">
        <v>0</v>
      </c>
      <c r="F2402" s="5">
        <v>0</v>
      </c>
      <c r="G2402" s="5">
        <v>0</v>
      </c>
      <c r="H2402" s="4" t="s">
        <v>11</v>
      </c>
      <c r="I2402" s="5">
        <v>0</v>
      </c>
      <c r="J2402" s="4">
        <v>45916.294328703705</v>
      </c>
    </row>
    <row r="2403" spans="1:10" x14ac:dyDescent="0.2">
      <c r="A2403" s="2" t="s">
        <v>10</v>
      </c>
      <c r="B2403" s="3" t="str">
        <f t="shared" si="47"/>
        <v>France - HCP Survey Email - June 2025</v>
      </c>
      <c r="C2403" s="3" t="str">
        <f>HYPERLINK("https://otsuka-europe-crm.veevavault.com/ui/#object/sent_email__v/VBLZ025E82GNOXK", "SE-000274079")</f>
        <v>SE-000274079</v>
      </c>
      <c r="D2403" s="4" t="s">
        <v>11</v>
      </c>
      <c r="E2403" s="5">
        <v>0</v>
      </c>
      <c r="F2403" s="5">
        <v>0</v>
      </c>
      <c r="G2403" s="5">
        <v>0</v>
      </c>
      <c r="H2403" s="4" t="s">
        <v>11</v>
      </c>
      <c r="I2403" s="5">
        <v>0</v>
      </c>
      <c r="J2403" s="4">
        <v>45916.295046296298</v>
      </c>
    </row>
    <row r="2404" spans="1:10" x14ac:dyDescent="0.2">
      <c r="A2404" s="2" t="s">
        <v>10</v>
      </c>
      <c r="B2404" s="3" t="str">
        <f t="shared" si="47"/>
        <v>France - HCP Survey Email - June 2025</v>
      </c>
      <c r="C2404" s="3" t="str">
        <f>HYPERLINK("https://otsuka-europe-crm.veevavault.com/ui/#object/sent_email__v/VBLZ025E82GNOXL", "SE-000274080")</f>
        <v>SE-000274080</v>
      </c>
      <c r="D2404" s="4" t="s">
        <v>11</v>
      </c>
      <c r="E2404" s="5">
        <v>0</v>
      </c>
      <c r="F2404" s="5">
        <v>0</v>
      </c>
      <c r="G2404" s="5">
        <v>0</v>
      </c>
      <c r="H2404" s="4" t="s">
        <v>11</v>
      </c>
      <c r="I2404" s="5">
        <v>0</v>
      </c>
      <c r="J2404" s="4">
        <v>45916.294710648152</v>
      </c>
    </row>
    <row r="2405" spans="1:10" x14ac:dyDescent="0.2">
      <c r="A2405" s="2" t="s">
        <v>10</v>
      </c>
      <c r="B2405" s="3" t="str">
        <f t="shared" si="47"/>
        <v>France - HCP Survey Email - June 2025</v>
      </c>
      <c r="C2405" s="3" t="str">
        <f>HYPERLINK("https://otsuka-europe-crm.veevavault.com/ui/#object/sent_email__v/VBLZ025E82GNOXM", "SE-000274081")</f>
        <v>SE-000274081</v>
      </c>
      <c r="D2405" s="4" t="s">
        <v>11</v>
      </c>
      <c r="E2405" s="5">
        <v>0</v>
      </c>
      <c r="F2405" s="5">
        <v>0</v>
      </c>
      <c r="G2405" s="5">
        <v>0</v>
      </c>
      <c r="H2405" s="4" t="s">
        <v>11</v>
      </c>
      <c r="I2405" s="5">
        <v>0</v>
      </c>
      <c r="J2405" s="4">
        <v>45916.294479166667</v>
      </c>
    </row>
    <row r="2406" spans="1:10" x14ac:dyDescent="0.2">
      <c r="A2406" s="2" t="s">
        <v>10</v>
      </c>
      <c r="B2406" s="3" t="str">
        <f t="shared" si="47"/>
        <v>France - HCP Survey Email - June 2025</v>
      </c>
      <c r="C2406" s="3" t="str">
        <f>HYPERLINK("https://otsuka-europe-crm.veevavault.com/ui/#object/sent_email__v/VBLZ025E82GNOXN", "SE-000274082")</f>
        <v>SE-000274082</v>
      </c>
      <c r="D2406" s="4" t="s">
        <v>11</v>
      </c>
      <c r="E2406" s="5">
        <v>0</v>
      </c>
      <c r="F2406" s="5">
        <v>0</v>
      </c>
      <c r="G2406" s="5">
        <v>0</v>
      </c>
      <c r="H2406" s="4" t="s">
        <v>11</v>
      </c>
      <c r="I2406" s="5">
        <v>0</v>
      </c>
      <c r="J2406" s="4">
        <v>45916.294305555559</v>
      </c>
    </row>
    <row r="2407" spans="1:10" x14ac:dyDescent="0.2">
      <c r="A2407" s="2" t="s">
        <v>10</v>
      </c>
      <c r="B2407" s="3" t="str">
        <f t="shared" si="47"/>
        <v>France - HCP Survey Email - June 2025</v>
      </c>
      <c r="C2407" s="3" t="str">
        <f>HYPERLINK("https://otsuka-europe-crm.veevavault.com/ui/#object/sent_email__v/VBLZ025E82GNOXO", "SE-000274083")</f>
        <v>SE-000274083</v>
      </c>
      <c r="D2407" s="4" t="s">
        <v>11</v>
      </c>
      <c r="E2407" s="5">
        <v>0</v>
      </c>
      <c r="F2407" s="5">
        <v>0</v>
      </c>
      <c r="G2407" s="5">
        <v>0</v>
      </c>
      <c r="H2407" s="4" t="s">
        <v>11</v>
      </c>
      <c r="I2407" s="5">
        <v>0</v>
      </c>
      <c r="J2407" s="4">
        <v>45916.294895833336</v>
      </c>
    </row>
    <row r="2408" spans="1:10" x14ac:dyDescent="0.2">
      <c r="A2408" s="2" t="s">
        <v>10</v>
      </c>
      <c r="B2408" s="3" t="str">
        <f t="shared" si="47"/>
        <v>France - HCP Survey Email - June 2025</v>
      </c>
      <c r="C2408" s="3" t="str">
        <f>HYPERLINK("https://otsuka-europe-crm.veevavault.com/ui/#object/sent_email__v/VBLZ025E82GNOXP", "SE-000274084")</f>
        <v>SE-000274084</v>
      </c>
      <c r="D2408" s="4" t="s">
        <v>11</v>
      </c>
      <c r="E2408" s="5">
        <v>0</v>
      </c>
      <c r="F2408" s="5">
        <v>0</v>
      </c>
      <c r="G2408" s="5">
        <v>0</v>
      </c>
      <c r="H2408" s="4" t="s">
        <v>11</v>
      </c>
      <c r="I2408" s="5">
        <v>0</v>
      </c>
      <c r="J2408" s="4">
        <v>45916.294745370367</v>
      </c>
    </row>
    <row r="2409" spans="1:10" x14ac:dyDescent="0.2">
      <c r="A2409" s="2" t="s">
        <v>10</v>
      </c>
      <c r="B2409" s="3" t="str">
        <f t="shared" si="47"/>
        <v>France - HCP Survey Email - June 2025</v>
      </c>
      <c r="C2409" s="3" t="str">
        <f>HYPERLINK("https://otsuka-europe-crm.veevavault.com/ui/#object/sent_email__v/VBLZ025E82GNOXQ", "SE-000274085")</f>
        <v>SE-000274085</v>
      </c>
      <c r="D2409" s="4">
        <v>45916.317418981482</v>
      </c>
      <c r="E2409" s="5">
        <v>1</v>
      </c>
      <c r="F2409" s="5">
        <v>1</v>
      </c>
      <c r="G2409" s="5">
        <v>1</v>
      </c>
      <c r="H2409" s="4">
        <v>45916.476689814815</v>
      </c>
      <c r="I2409" s="5">
        <v>2</v>
      </c>
      <c r="J2409" s="4">
        <v>45916.294456018521</v>
      </c>
    </row>
    <row r="2410" spans="1:10" x14ac:dyDescent="0.2">
      <c r="A2410" s="2" t="s">
        <v>10</v>
      </c>
      <c r="B2410" s="3" t="str">
        <f t="shared" si="47"/>
        <v>France - HCP Survey Email - June 2025</v>
      </c>
      <c r="C2410" s="3" t="str">
        <f>HYPERLINK("https://otsuka-europe-crm.veevavault.com/ui/#object/sent_email__v/VBLZ025E82GNOXR", "SE-000274086")</f>
        <v>SE-000274086</v>
      </c>
      <c r="D2410" s="4" t="s">
        <v>11</v>
      </c>
      <c r="E2410" s="5">
        <v>0</v>
      </c>
      <c r="F2410" s="5">
        <v>0</v>
      </c>
      <c r="G2410" s="5">
        <v>0</v>
      </c>
      <c r="H2410" s="4" t="s">
        <v>11</v>
      </c>
      <c r="I2410" s="5">
        <v>0</v>
      </c>
      <c r="J2410" s="4">
        <v>45916.294236111113</v>
      </c>
    </row>
    <row r="2411" spans="1:10" x14ac:dyDescent="0.2">
      <c r="A2411" s="2" t="s">
        <v>10</v>
      </c>
      <c r="B2411" s="3" t="str">
        <f t="shared" si="47"/>
        <v>France - HCP Survey Email - June 2025</v>
      </c>
      <c r="C2411" s="3" t="str">
        <f>HYPERLINK("https://otsuka-europe-crm.veevavault.com/ui/#object/sent_email__v/VBLZ025E82GNOXS", "SE-000274087")</f>
        <v>SE-000274087</v>
      </c>
      <c r="D2411" s="4" t="s">
        <v>11</v>
      </c>
      <c r="E2411" s="5">
        <v>0</v>
      </c>
      <c r="F2411" s="5">
        <v>0</v>
      </c>
      <c r="G2411" s="5">
        <v>0</v>
      </c>
      <c r="H2411" s="4" t="s">
        <v>11</v>
      </c>
      <c r="I2411" s="5">
        <v>0</v>
      </c>
      <c r="J2411" s="4">
        <v>45916.294861111113</v>
      </c>
    </row>
    <row r="2412" spans="1:10" x14ac:dyDescent="0.2">
      <c r="A2412" s="2" t="s">
        <v>10</v>
      </c>
      <c r="B2412" s="3" t="str">
        <f t="shared" si="47"/>
        <v>France - HCP Survey Email - June 2025</v>
      </c>
      <c r="C2412" s="3" t="str">
        <f>HYPERLINK("https://otsuka-europe-crm.veevavault.com/ui/#object/sent_email__v/VBLZ025E82GNOXT", "SE-000274088")</f>
        <v>SE-000274088</v>
      </c>
      <c r="D2412" s="4" t="s">
        <v>11</v>
      </c>
      <c r="E2412" s="5">
        <v>0</v>
      </c>
      <c r="F2412" s="5">
        <v>0</v>
      </c>
      <c r="G2412" s="5">
        <v>0</v>
      </c>
      <c r="H2412" s="4" t="s">
        <v>11</v>
      </c>
      <c r="I2412" s="5">
        <v>0</v>
      </c>
      <c r="J2412" s="4">
        <v>45916.294548611113</v>
      </c>
    </row>
    <row r="2413" spans="1:10" x14ac:dyDescent="0.2">
      <c r="A2413" s="2" t="s">
        <v>10</v>
      </c>
      <c r="B2413" s="3" t="str">
        <f t="shared" si="47"/>
        <v>France - HCP Survey Email - June 2025</v>
      </c>
      <c r="C2413" s="3" t="str">
        <f>HYPERLINK("https://otsuka-europe-crm.veevavault.com/ui/#object/sent_email__v/VBLZ025E82GNOXU", "SE-000274089")</f>
        <v>SE-000274089</v>
      </c>
      <c r="D2413" s="4" t="s">
        <v>11</v>
      </c>
      <c r="E2413" s="5">
        <v>0</v>
      </c>
      <c r="F2413" s="5">
        <v>0</v>
      </c>
      <c r="G2413" s="5">
        <v>0</v>
      </c>
      <c r="H2413" s="4" t="s">
        <v>11</v>
      </c>
      <c r="I2413" s="5">
        <v>0</v>
      </c>
      <c r="J2413" s="4">
        <v>45916.294374999998</v>
      </c>
    </row>
    <row r="2414" spans="1:10" x14ac:dyDescent="0.2">
      <c r="A2414" s="2" t="s">
        <v>10</v>
      </c>
      <c r="B2414" s="3" t="str">
        <f t="shared" si="47"/>
        <v>France - HCP Survey Email - June 2025</v>
      </c>
      <c r="C2414" s="3" t="str">
        <f>HYPERLINK("https://otsuka-europe-crm.veevavault.com/ui/#object/sent_email__v/VBLZ025E82GNOXV", "SE-000274090")</f>
        <v>SE-000274090</v>
      </c>
      <c r="D2414" s="4" t="s">
        <v>11</v>
      </c>
      <c r="E2414" s="5">
        <v>0</v>
      </c>
      <c r="F2414" s="5">
        <v>0</v>
      </c>
      <c r="G2414" s="5">
        <v>0</v>
      </c>
      <c r="H2414" s="4" t="s">
        <v>11</v>
      </c>
      <c r="I2414" s="5">
        <v>0</v>
      </c>
      <c r="J2414" s="4">
        <v>45916.295046296298</v>
      </c>
    </row>
    <row r="2415" spans="1:10" x14ac:dyDescent="0.2">
      <c r="A2415" s="2" t="s">
        <v>10</v>
      </c>
      <c r="B2415" s="3" t="str">
        <f t="shared" si="47"/>
        <v>France - HCP Survey Email - June 2025</v>
      </c>
      <c r="C2415" s="3" t="str">
        <f>HYPERLINK("https://otsuka-europe-crm.veevavault.com/ui/#object/sent_email__v/VBLZ025E82GNOXW", "SE-000274091")</f>
        <v>SE-000274091</v>
      </c>
      <c r="D2415" s="4" t="s">
        <v>11</v>
      </c>
      <c r="E2415" s="5">
        <v>0</v>
      </c>
      <c r="F2415" s="5">
        <v>0</v>
      </c>
      <c r="G2415" s="5">
        <v>0</v>
      </c>
      <c r="H2415" s="4" t="s">
        <v>11</v>
      </c>
      <c r="I2415" s="5">
        <v>0</v>
      </c>
      <c r="J2415" s="4">
        <v>45916.294791666667</v>
      </c>
    </row>
    <row r="2416" spans="1:10" x14ac:dyDescent="0.2">
      <c r="A2416" s="2" t="s">
        <v>10</v>
      </c>
      <c r="B2416" s="3" t="str">
        <f t="shared" si="47"/>
        <v>France - HCP Survey Email - June 2025</v>
      </c>
      <c r="C2416" s="3" t="str">
        <f>HYPERLINK("https://otsuka-europe-crm.veevavault.com/ui/#object/sent_email__v/VBLZ025E82GNOXX", "SE-000274092")</f>
        <v>SE-000274092</v>
      </c>
      <c r="D2416" s="4">
        <v>45918.426562499997</v>
      </c>
      <c r="E2416" s="5">
        <v>1</v>
      </c>
      <c r="F2416" s="5">
        <v>5</v>
      </c>
      <c r="G2416" s="5">
        <v>0</v>
      </c>
      <c r="H2416" s="4" t="s">
        <v>11</v>
      </c>
      <c r="I2416" s="5">
        <v>0</v>
      </c>
      <c r="J2416" s="4">
        <v>45916.294502314813</v>
      </c>
    </row>
    <row r="2417" spans="1:10" x14ac:dyDescent="0.2">
      <c r="A2417" s="2" t="s">
        <v>10</v>
      </c>
      <c r="B2417" s="3" t="str">
        <f t="shared" si="47"/>
        <v>France - HCP Survey Email - June 2025</v>
      </c>
      <c r="C2417" s="3" t="str">
        <f>HYPERLINK("https://otsuka-europe-crm.veevavault.com/ui/#object/sent_email__v/VBLZ025E82GNOXY", "SE-000274093")</f>
        <v>SE-000274093</v>
      </c>
      <c r="D2417" s="4" t="s">
        <v>11</v>
      </c>
      <c r="E2417" s="5">
        <v>0</v>
      </c>
      <c r="F2417" s="5">
        <v>0</v>
      </c>
      <c r="G2417" s="5">
        <v>0</v>
      </c>
      <c r="H2417" s="4" t="s">
        <v>11</v>
      </c>
      <c r="I2417" s="5">
        <v>0</v>
      </c>
      <c r="J2417" s="4">
        <v>45916.294432870367</v>
      </c>
    </row>
    <row r="2418" spans="1:10" x14ac:dyDescent="0.2">
      <c r="A2418" s="2" t="s">
        <v>10</v>
      </c>
      <c r="B2418" s="3" t="str">
        <f t="shared" si="47"/>
        <v>France - HCP Survey Email - June 2025</v>
      </c>
      <c r="C2418" s="3" t="str">
        <f>HYPERLINK("https://otsuka-europe-crm.veevavault.com/ui/#object/sent_email__v/VBLZ025E82GNOXZ", "SE-000274094")</f>
        <v>SE-000274094</v>
      </c>
      <c r="D2418" s="4" t="s">
        <v>11</v>
      </c>
      <c r="E2418" s="5">
        <v>0</v>
      </c>
      <c r="F2418" s="5">
        <v>0</v>
      </c>
      <c r="G2418" s="5">
        <v>0</v>
      </c>
      <c r="H2418" s="4" t="s">
        <v>11</v>
      </c>
      <c r="I2418" s="5">
        <v>0</v>
      </c>
      <c r="J2418" s="4">
        <v>45916.295011574075</v>
      </c>
    </row>
    <row r="2419" spans="1:10" x14ac:dyDescent="0.2">
      <c r="A2419" s="2" t="s">
        <v>10</v>
      </c>
      <c r="B2419" s="3" t="str">
        <f t="shared" si="47"/>
        <v>France - HCP Survey Email - June 2025</v>
      </c>
      <c r="C2419" s="3" t="str">
        <f>HYPERLINK("https://otsuka-europe-crm.veevavault.com/ui/#object/sent_email__v/VBLZ025E82GNOY0", "SE-000274095")</f>
        <v>SE-000274095</v>
      </c>
      <c r="D2419" s="4" t="s">
        <v>11</v>
      </c>
      <c r="E2419" s="5">
        <v>0</v>
      </c>
      <c r="F2419" s="5">
        <v>0</v>
      </c>
      <c r="G2419" s="5">
        <v>0</v>
      </c>
      <c r="H2419" s="4" t="s">
        <v>11</v>
      </c>
      <c r="I2419" s="5">
        <v>0</v>
      </c>
      <c r="J2419" s="4">
        <v>45916.294722222221</v>
      </c>
    </row>
    <row r="2420" spans="1:10" x14ac:dyDescent="0.2">
      <c r="A2420" s="2" t="s">
        <v>10</v>
      </c>
      <c r="B2420" s="3" t="str">
        <f t="shared" si="47"/>
        <v>France - HCP Survey Email - June 2025</v>
      </c>
      <c r="C2420" s="3" t="str">
        <f>HYPERLINK("https://otsuka-europe-crm.veevavault.com/ui/#object/sent_email__v/VBLZ025E82GNOY1", "SE-000274096")</f>
        <v>SE-000274096</v>
      </c>
      <c r="D2420" s="4">
        <v>45916.29488425926</v>
      </c>
      <c r="E2420" s="5">
        <v>1</v>
      </c>
      <c r="F2420" s="5">
        <v>1</v>
      </c>
      <c r="G2420" s="5">
        <v>1</v>
      </c>
      <c r="H2420" s="4">
        <v>45916.29488425926</v>
      </c>
      <c r="I2420" s="5">
        <v>1</v>
      </c>
      <c r="J2420" s="4">
        <v>45916.294583333336</v>
      </c>
    </row>
    <row r="2421" spans="1:10" x14ac:dyDescent="0.2">
      <c r="A2421" s="2" t="s">
        <v>10</v>
      </c>
      <c r="B2421" s="3" t="str">
        <f t="shared" si="47"/>
        <v>France - HCP Survey Email - June 2025</v>
      </c>
      <c r="C2421" s="3" t="str">
        <f>HYPERLINK("https://otsuka-europe-crm.veevavault.com/ui/#object/sent_email__v/VBLZ025E82GNOY2", "SE-000274097")</f>
        <v>SE-000274097</v>
      </c>
      <c r="D2421" s="4" t="s">
        <v>11</v>
      </c>
      <c r="E2421" s="5">
        <v>0</v>
      </c>
      <c r="F2421" s="5">
        <v>0</v>
      </c>
      <c r="G2421" s="5">
        <v>0</v>
      </c>
      <c r="H2421" s="4" t="s">
        <v>11</v>
      </c>
      <c r="I2421" s="5">
        <v>0</v>
      </c>
      <c r="J2421" s="4">
        <v>45916.294305555559</v>
      </c>
    </row>
    <row r="2422" spans="1:10" x14ac:dyDescent="0.2">
      <c r="A2422" s="2" t="s">
        <v>10</v>
      </c>
      <c r="B2422" s="3" t="str">
        <f t="shared" si="47"/>
        <v>France - HCP Survey Email - June 2025</v>
      </c>
      <c r="C2422" s="3" t="str">
        <f>HYPERLINK("https://otsuka-europe-crm.veevavault.com/ui/#object/sent_email__v/VBLZ025E82GNOY3", "SE-000274098")</f>
        <v>SE-000274098</v>
      </c>
      <c r="D2422" s="4" t="s">
        <v>11</v>
      </c>
      <c r="E2422" s="5">
        <v>0</v>
      </c>
      <c r="F2422" s="5">
        <v>0</v>
      </c>
      <c r="G2422" s="5">
        <v>0</v>
      </c>
      <c r="H2422" s="4" t="s">
        <v>11</v>
      </c>
      <c r="I2422" s="5">
        <v>0</v>
      </c>
      <c r="J2422" s="4">
        <v>45916.295011574075</v>
      </c>
    </row>
    <row r="2423" spans="1:10" x14ac:dyDescent="0.2">
      <c r="A2423" s="2" t="s">
        <v>10</v>
      </c>
      <c r="B2423" s="3" t="str">
        <f t="shared" si="47"/>
        <v>France - HCP Survey Email - June 2025</v>
      </c>
      <c r="C2423" s="3" t="str">
        <f>HYPERLINK("https://otsuka-europe-crm.veevavault.com/ui/#object/sent_email__v/VBLZ025E82GNOY4", "SE-000274099")</f>
        <v>SE-000274099</v>
      </c>
      <c r="D2423" s="4">
        <v>45996.884618055556</v>
      </c>
      <c r="E2423" s="5">
        <v>1</v>
      </c>
      <c r="F2423" s="5">
        <v>5</v>
      </c>
      <c r="G2423" s="5">
        <v>0</v>
      </c>
      <c r="H2423" s="4" t="s">
        <v>11</v>
      </c>
      <c r="I2423" s="5">
        <v>0</v>
      </c>
      <c r="J2423" s="4">
        <v>45916.294641203705</v>
      </c>
    </row>
    <row r="2424" spans="1:10" x14ac:dyDescent="0.2">
      <c r="A2424" s="2" t="s">
        <v>10</v>
      </c>
      <c r="B2424" s="3" t="str">
        <f t="shared" si="47"/>
        <v>France - HCP Survey Email - June 2025</v>
      </c>
      <c r="C2424" s="3" t="str">
        <f>HYPERLINK("https://otsuka-europe-crm.veevavault.com/ui/#object/sent_email__v/VBLZ025E82GNOY5", "SE-000274100")</f>
        <v>SE-000274100</v>
      </c>
      <c r="D2424" s="4">
        <v>45987.904560185183</v>
      </c>
      <c r="E2424" s="5">
        <v>1</v>
      </c>
      <c r="F2424" s="5">
        <v>1</v>
      </c>
      <c r="G2424" s="5">
        <v>0</v>
      </c>
      <c r="H2424" s="4" t="s">
        <v>11</v>
      </c>
      <c r="I2424" s="5">
        <v>0</v>
      </c>
      <c r="J2424" s="4">
        <v>45916.294456018521</v>
      </c>
    </row>
    <row r="2425" spans="1:10" x14ac:dyDescent="0.2">
      <c r="A2425" s="2" t="s">
        <v>10</v>
      </c>
      <c r="B2425" s="3" t="str">
        <f t="shared" si="47"/>
        <v>France - HCP Survey Email - June 2025</v>
      </c>
      <c r="C2425" s="3" t="str">
        <f>HYPERLINK("https://otsuka-europe-crm.veevavault.com/ui/#object/sent_email__v/VBLZ025E82GNOY7", "SE-000274102")</f>
        <v>SE-000274102</v>
      </c>
      <c r="D2425" s="4" t="s">
        <v>11</v>
      </c>
      <c r="E2425" s="5">
        <v>0</v>
      </c>
      <c r="F2425" s="5">
        <v>0</v>
      </c>
      <c r="G2425" s="5">
        <v>0</v>
      </c>
      <c r="H2425" s="4" t="s">
        <v>11</v>
      </c>
      <c r="I2425" s="5">
        <v>0</v>
      </c>
      <c r="J2425" s="4">
        <v>45916.29482638889</v>
      </c>
    </row>
    <row r="2426" spans="1:10" x14ac:dyDescent="0.2">
      <c r="A2426" s="2" t="s">
        <v>10</v>
      </c>
      <c r="B2426" s="3" t="str">
        <f t="shared" si="47"/>
        <v>France - HCP Survey Email - June 2025</v>
      </c>
      <c r="C2426" s="3" t="str">
        <f>HYPERLINK("https://otsuka-europe-crm.veevavault.com/ui/#object/sent_email__v/VBLZ025E82GNOY8", "SE-000274103")</f>
        <v>SE-000274103</v>
      </c>
      <c r="D2426" s="4" t="s">
        <v>11</v>
      </c>
      <c r="E2426" s="5">
        <v>0</v>
      </c>
      <c r="F2426" s="5">
        <v>0</v>
      </c>
      <c r="G2426" s="5">
        <v>0</v>
      </c>
      <c r="H2426" s="4" t="s">
        <v>11</v>
      </c>
      <c r="I2426" s="5">
        <v>0</v>
      </c>
      <c r="J2426" s="4">
        <v>45916.294571759259</v>
      </c>
    </row>
    <row r="2427" spans="1:10" x14ac:dyDescent="0.2">
      <c r="A2427" s="2" t="s">
        <v>10</v>
      </c>
      <c r="B2427" s="3" t="str">
        <f t="shared" si="47"/>
        <v>France - HCP Survey Email - June 2025</v>
      </c>
      <c r="C2427" s="3" t="str">
        <f>HYPERLINK("https://otsuka-europe-crm.veevavault.com/ui/#object/sent_email__v/VBLZ025E82GNOY9", "SE-000274104")</f>
        <v>SE-000274104</v>
      </c>
      <c r="D2427" s="4">
        <v>45916.309166666666</v>
      </c>
      <c r="E2427" s="5">
        <v>1</v>
      </c>
      <c r="F2427" s="5">
        <v>2</v>
      </c>
      <c r="G2427" s="5">
        <v>0</v>
      </c>
      <c r="H2427" s="4" t="s">
        <v>11</v>
      </c>
      <c r="I2427" s="5">
        <v>0</v>
      </c>
      <c r="J2427" s="4">
        <v>45916.294328703705</v>
      </c>
    </row>
    <row r="2428" spans="1:10" x14ac:dyDescent="0.2">
      <c r="A2428" s="2" t="s">
        <v>10</v>
      </c>
      <c r="B2428" s="3" t="str">
        <f t="shared" si="47"/>
        <v>France - HCP Survey Email - June 2025</v>
      </c>
      <c r="C2428" s="3" t="str">
        <f>HYPERLINK("https://otsuka-europe-crm.veevavault.com/ui/#object/sent_email__v/VBLZ025E82GNOYA", "SE-000274105")</f>
        <v>SE-000274105</v>
      </c>
      <c r="D2428" s="4" t="s">
        <v>11</v>
      </c>
      <c r="E2428" s="5">
        <v>0</v>
      </c>
      <c r="F2428" s="5">
        <v>0</v>
      </c>
      <c r="G2428" s="5">
        <v>0</v>
      </c>
      <c r="H2428" s="4" t="s">
        <v>11</v>
      </c>
      <c r="I2428" s="5">
        <v>0</v>
      </c>
      <c r="J2428" s="4">
        <v>45916.295081018521</v>
      </c>
    </row>
    <row r="2429" spans="1:10" x14ac:dyDescent="0.2">
      <c r="A2429" s="2" t="s">
        <v>10</v>
      </c>
      <c r="B2429" s="3" t="str">
        <f t="shared" si="47"/>
        <v>France - HCP Survey Email - June 2025</v>
      </c>
      <c r="C2429" s="3" t="str">
        <f>HYPERLINK("https://otsuka-europe-crm.veevavault.com/ui/#object/sent_email__v/VBLZ025E82GNOYB", "SE-000274106")</f>
        <v>SE-000274106</v>
      </c>
      <c r="D2429" s="4" t="s">
        <v>11</v>
      </c>
      <c r="E2429" s="5">
        <v>0</v>
      </c>
      <c r="F2429" s="5">
        <v>0</v>
      </c>
      <c r="G2429" s="5">
        <v>0</v>
      </c>
      <c r="H2429" s="4" t="s">
        <v>11</v>
      </c>
      <c r="I2429" s="5">
        <v>0</v>
      </c>
      <c r="J2429" s="4">
        <v>45916.294699074075</v>
      </c>
    </row>
    <row r="2430" spans="1:10" x14ac:dyDescent="0.2">
      <c r="A2430" s="2" t="s">
        <v>10</v>
      </c>
      <c r="B2430" s="3" t="str">
        <f t="shared" si="47"/>
        <v>France - HCP Survey Email - June 2025</v>
      </c>
      <c r="C2430" s="3" t="str">
        <f>HYPERLINK("https://otsuka-europe-crm.veevavault.com/ui/#object/sent_email__v/VBLZ025E82GNOYC", "SE-000274107")</f>
        <v>SE-000274107</v>
      </c>
      <c r="D2430" s="4" t="s">
        <v>11</v>
      </c>
      <c r="E2430" s="5">
        <v>0</v>
      </c>
      <c r="F2430" s="5">
        <v>0</v>
      </c>
      <c r="G2430" s="5">
        <v>0</v>
      </c>
      <c r="H2430" s="4" t="s">
        <v>11</v>
      </c>
      <c r="I2430" s="5">
        <v>0</v>
      </c>
      <c r="J2430" s="4">
        <v>45916.294548611113</v>
      </c>
    </row>
    <row r="2431" spans="1:10" x14ac:dyDescent="0.2">
      <c r="A2431" s="2" t="s">
        <v>10</v>
      </c>
      <c r="B2431" s="3" t="str">
        <f t="shared" si="47"/>
        <v>France - HCP Survey Email - June 2025</v>
      </c>
      <c r="C2431" s="3" t="str">
        <f>HYPERLINK("https://otsuka-europe-crm.veevavault.com/ui/#object/sent_email__v/VBLZ025E82GNOYD", "SE-000274108")</f>
        <v>SE-000274108</v>
      </c>
      <c r="D2431" s="4" t="s">
        <v>11</v>
      </c>
      <c r="E2431" s="5">
        <v>0</v>
      </c>
      <c r="F2431" s="5">
        <v>0</v>
      </c>
      <c r="G2431" s="5">
        <v>0</v>
      </c>
      <c r="H2431" s="4" t="s">
        <v>11</v>
      </c>
      <c r="I2431" s="5">
        <v>0</v>
      </c>
      <c r="J2431" s="4">
        <v>45916.294282407405</v>
      </c>
    </row>
    <row r="2432" spans="1:10" x14ac:dyDescent="0.2">
      <c r="A2432" s="2" t="s">
        <v>10</v>
      </c>
      <c r="B2432" s="3" t="str">
        <f t="shared" si="47"/>
        <v>France - HCP Survey Email - June 2025</v>
      </c>
      <c r="C2432" s="3" t="str">
        <f>HYPERLINK("https://otsuka-europe-crm.veevavault.com/ui/#object/sent_email__v/VBLZ025E82GNOYE", "SE-000274109")</f>
        <v>SE-000274109</v>
      </c>
      <c r="D2432" s="4" t="s">
        <v>11</v>
      </c>
      <c r="E2432" s="5">
        <v>0</v>
      </c>
      <c r="F2432" s="5">
        <v>0</v>
      </c>
      <c r="G2432" s="5">
        <v>0</v>
      </c>
      <c r="H2432" s="4" t="s">
        <v>11</v>
      </c>
      <c r="I2432" s="5">
        <v>0</v>
      </c>
      <c r="J2432" s="4">
        <v>45916.29488425926</v>
      </c>
    </row>
    <row r="2433" spans="1:10" x14ac:dyDescent="0.2">
      <c r="A2433" s="2" t="s">
        <v>10</v>
      </c>
      <c r="B2433" s="3" t="str">
        <f t="shared" ref="B2433:B2496" si="48">HYPERLINK("https://otsuka-europe-crm.veevavault.com/ui/#object/approved_document__v/V5OZ025E82TMV97", "France - HCP Survey Email - June 2025")</f>
        <v>France - HCP Survey Email - June 2025</v>
      </c>
      <c r="C2433" s="3" t="str">
        <f>HYPERLINK("https://otsuka-europe-crm.veevavault.com/ui/#object/sent_email__v/VBLZ025E82GNOYF", "SE-000274110")</f>
        <v>SE-000274110</v>
      </c>
      <c r="D2433" s="4" t="s">
        <v>11</v>
      </c>
      <c r="E2433" s="5">
        <v>0</v>
      </c>
      <c r="F2433" s="5">
        <v>0</v>
      </c>
      <c r="G2433" s="5">
        <v>0</v>
      </c>
      <c r="H2433" s="4" t="s">
        <v>11</v>
      </c>
      <c r="I2433" s="5">
        <v>0</v>
      </c>
      <c r="J2433" s="4">
        <v>45916.294710648152</v>
      </c>
    </row>
    <row r="2434" spans="1:10" x14ac:dyDescent="0.2">
      <c r="A2434" s="2" t="s">
        <v>10</v>
      </c>
      <c r="B2434" s="3" t="str">
        <f t="shared" si="48"/>
        <v>France - HCP Survey Email - June 2025</v>
      </c>
      <c r="C2434" s="3" t="str">
        <f>HYPERLINK("https://otsuka-europe-crm.veevavault.com/ui/#object/sent_email__v/VBLZ025E82GNOYG", "SE-000274111")</f>
        <v>SE-000274111</v>
      </c>
      <c r="D2434" s="4" t="s">
        <v>11</v>
      </c>
      <c r="E2434" s="5">
        <v>0</v>
      </c>
      <c r="F2434" s="5">
        <v>0</v>
      </c>
      <c r="G2434" s="5">
        <v>0</v>
      </c>
      <c r="H2434" s="4" t="s">
        <v>11</v>
      </c>
      <c r="I2434" s="5">
        <v>0</v>
      </c>
      <c r="J2434" s="4">
        <v>45916.29446759259</v>
      </c>
    </row>
    <row r="2435" spans="1:10" x14ac:dyDescent="0.2">
      <c r="A2435" s="2" t="s">
        <v>10</v>
      </c>
      <c r="B2435" s="3" t="str">
        <f t="shared" si="48"/>
        <v>France - HCP Survey Email - June 2025</v>
      </c>
      <c r="C2435" s="3" t="str">
        <f>HYPERLINK("https://otsuka-europe-crm.veevavault.com/ui/#object/sent_email__v/VBLZ025E82GNOYH", "SE-000274112")</f>
        <v>SE-000274112</v>
      </c>
      <c r="D2435" s="4" t="s">
        <v>11</v>
      </c>
      <c r="E2435" s="5">
        <v>0</v>
      </c>
      <c r="F2435" s="5">
        <v>0</v>
      </c>
      <c r="G2435" s="5">
        <v>0</v>
      </c>
      <c r="H2435" s="4" t="s">
        <v>11</v>
      </c>
      <c r="I2435" s="5">
        <v>0</v>
      </c>
      <c r="J2435" s="4">
        <v>45916.294317129628</v>
      </c>
    </row>
    <row r="2436" spans="1:10" x14ac:dyDescent="0.2">
      <c r="A2436" s="2" t="s">
        <v>10</v>
      </c>
      <c r="B2436" s="3" t="str">
        <f t="shared" si="48"/>
        <v>France - HCP Survey Email - June 2025</v>
      </c>
      <c r="C2436" s="3" t="str">
        <f>HYPERLINK("https://otsuka-europe-crm.veevavault.com/ui/#object/sent_email__v/VBLZ025E82GNOYI", "SE-000274113")</f>
        <v>SE-000274113</v>
      </c>
      <c r="D2436" s="4" t="s">
        <v>11</v>
      </c>
      <c r="E2436" s="5">
        <v>0</v>
      </c>
      <c r="F2436" s="5">
        <v>0</v>
      </c>
      <c r="G2436" s="5">
        <v>0</v>
      </c>
      <c r="H2436" s="4" t="s">
        <v>11</v>
      </c>
      <c r="I2436" s="5">
        <v>0</v>
      </c>
      <c r="J2436" s="4">
        <v>45916.294861111113</v>
      </c>
    </row>
    <row r="2437" spans="1:10" x14ac:dyDescent="0.2">
      <c r="A2437" s="2" t="s">
        <v>10</v>
      </c>
      <c r="B2437" s="3" t="str">
        <f t="shared" si="48"/>
        <v>France - HCP Survey Email - June 2025</v>
      </c>
      <c r="C2437" s="3" t="str">
        <f>HYPERLINK("https://otsuka-europe-crm.veevavault.com/ui/#object/sent_email__v/VBLZ025E82GNOYK", "SE-000274115")</f>
        <v>SE-000274115</v>
      </c>
      <c r="D2437" s="4" t="s">
        <v>11</v>
      </c>
      <c r="E2437" s="5">
        <v>0</v>
      </c>
      <c r="F2437" s="5">
        <v>0</v>
      </c>
      <c r="G2437" s="5">
        <v>0</v>
      </c>
      <c r="H2437" s="4" t="s">
        <v>11</v>
      </c>
      <c r="I2437" s="5">
        <v>0</v>
      </c>
      <c r="J2437" s="4">
        <v>45916.294340277775</v>
      </c>
    </row>
    <row r="2438" spans="1:10" x14ac:dyDescent="0.2">
      <c r="A2438" s="2" t="s">
        <v>10</v>
      </c>
      <c r="B2438" s="3" t="str">
        <f t="shared" si="48"/>
        <v>France - HCP Survey Email - June 2025</v>
      </c>
      <c r="C2438" s="3" t="str">
        <f>HYPERLINK("https://otsuka-europe-crm.veevavault.com/ui/#object/sent_email__v/VBLZ025E82GNOYL", "SE-000274116")</f>
        <v>SE-000274116</v>
      </c>
      <c r="D2438" s="4" t="s">
        <v>11</v>
      </c>
      <c r="E2438" s="5">
        <v>0</v>
      </c>
      <c r="F2438" s="5">
        <v>0</v>
      </c>
      <c r="G2438" s="5">
        <v>0</v>
      </c>
      <c r="H2438" s="4" t="s">
        <v>11</v>
      </c>
      <c r="I2438" s="5">
        <v>0</v>
      </c>
      <c r="J2438" s="4">
        <v>45916.294953703706</v>
      </c>
    </row>
    <row r="2439" spans="1:10" x14ac:dyDescent="0.2">
      <c r="A2439" s="2" t="s">
        <v>10</v>
      </c>
      <c r="B2439" s="3" t="str">
        <f t="shared" si="48"/>
        <v>France - HCP Survey Email - June 2025</v>
      </c>
      <c r="C2439" s="3" t="str">
        <f>HYPERLINK("https://otsuka-europe-crm.veevavault.com/ui/#object/sent_email__v/VBLZ025E82GNOYM", "SE-000274117")</f>
        <v>SE-000274117</v>
      </c>
      <c r="D2439" s="4" t="s">
        <v>11</v>
      </c>
      <c r="E2439" s="5">
        <v>0</v>
      </c>
      <c r="F2439" s="5">
        <v>0</v>
      </c>
      <c r="G2439" s="5">
        <v>0</v>
      </c>
      <c r="H2439" s="4" t="s">
        <v>11</v>
      </c>
      <c r="I2439" s="5">
        <v>0</v>
      </c>
      <c r="J2439" s="4">
        <v>45916.294722222221</v>
      </c>
    </row>
    <row r="2440" spans="1:10" x14ac:dyDescent="0.2">
      <c r="A2440" s="2" t="s">
        <v>10</v>
      </c>
      <c r="B2440" s="3" t="str">
        <f t="shared" si="48"/>
        <v>France - HCP Survey Email - June 2025</v>
      </c>
      <c r="C2440" s="3" t="str">
        <f>HYPERLINK("https://otsuka-europe-crm.veevavault.com/ui/#object/sent_email__v/VBLZ025E82GNOYN", "SE-000274118")</f>
        <v>SE-000274118</v>
      </c>
      <c r="D2440" s="4" t="s">
        <v>11</v>
      </c>
      <c r="E2440" s="5">
        <v>0</v>
      </c>
      <c r="F2440" s="5">
        <v>0</v>
      </c>
      <c r="G2440" s="5">
        <v>0</v>
      </c>
      <c r="H2440" s="4" t="s">
        <v>11</v>
      </c>
      <c r="I2440" s="5">
        <v>0</v>
      </c>
      <c r="J2440" s="4">
        <v>45916.294479166667</v>
      </c>
    </row>
    <row r="2441" spans="1:10" x14ac:dyDescent="0.2">
      <c r="A2441" s="2" t="s">
        <v>10</v>
      </c>
      <c r="B2441" s="3" t="str">
        <f t="shared" si="48"/>
        <v>France - HCP Survey Email - June 2025</v>
      </c>
      <c r="C2441" s="3" t="str">
        <f>HYPERLINK("https://otsuka-europe-crm.veevavault.com/ui/#object/sent_email__v/VBLZ025E82GNOYO", "SE-000274119")</f>
        <v>SE-000274119</v>
      </c>
      <c r="D2441" s="4" t="s">
        <v>11</v>
      </c>
      <c r="E2441" s="5">
        <v>0</v>
      </c>
      <c r="F2441" s="5">
        <v>0</v>
      </c>
      <c r="G2441" s="5">
        <v>0</v>
      </c>
      <c r="H2441" s="4" t="s">
        <v>11</v>
      </c>
      <c r="I2441" s="5">
        <v>0</v>
      </c>
      <c r="J2441" s="4">
        <v>45916.294641203705</v>
      </c>
    </row>
    <row r="2442" spans="1:10" x14ac:dyDescent="0.2">
      <c r="A2442" s="2" t="s">
        <v>10</v>
      </c>
      <c r="B2442" s="3" t="str">
        <f t="shared" si="48"/>
        <v>France - HCP Survey Email - June 2025</v>
      </c>
      <c r="C2442" s="3" t="str">
        <f>HYPERLINK("https://otsuka-europe-crm.veevavault.com/ui/#object/sent_email__v/VBLZ025E82GNOYP", "SE-000274120")</f>
        <v>SE-000274120</v>
      </c>
      <c r="D2442" s="4">
        <v>45916.308888888889</v>
      </c>
      <c r="E2442" s="5">
        <v>1</v>
      </c>
      <c r="F2442" s="5">
        <v>1</v>
      </c>
      <c r="G2442" s="5">
        <v>0</v>
      </c>
      <c r="H2442" s="4" t="s">
        <v>11</v>
      </c>
      <c r="I2442" s="5">
        <v>0</v>
      </c>
      <c r="J2442" s="4">
        <v>45916.294374999998</v>
      </c>
    </row>
    <row r="2443" spans="1:10" x14ac:dyDescent="0.2">
      <c r="A2443" s="2" t="s">
        <v>10</v>
      </c>
      <c r="B2443" s="3" t="str">
        <f t="shared" si="48"/>
        <v>France - HCP Survey Email - June 2025</v>
      </c>
      <c r="C2443" s="3" t="str">
        <f>HYPERLINK("https://otsuka-europe-crm.veevavault.com/ui/#object/sent_email__v/VBLZ025E82GNOYQ", "SE-000274121")</f>
        <v>SE-000274121</v>
      </c>
      <c r="D2443" s="4" t="s">
        <v>11</v>
      </c>
      <c r="E2443" s="5">
        <v>0</v>
      </c>
      <c r="F2443" s="5">
        <v>0</v>
      </c>
      <c r="G2443" s="5">
        <v>0</v>
      </c>
      <c r="H2443" s="4" t="s">
        <v>11</v>
      </c>
      <c r="I2443" s="5">
        <v>0</v>
      </c>
      <c r="J2443" s="4">
        <v>45916.295069444444</v>
      </c>
    </row>
    <row r="2444" spans="1:10" x14ac:dyDescent="0.2">
      <c r="A2444" s="2" t="s">
        <v>10</v>
      </c>
      <c r="B2444" s="3" t="str">
        <f t="shared" si="48"/>
        <v>France - HCP Survey Email - June 2025</v>
      </c>
      <c r="C2444" s="3" t="str">
        <f>HYPERLINK("https://otsuka-europe-crm.veevavault.com/ui/#object/sent_email__v/VBLZ025E82GNOYR", "SE-000274122")</f>
        <v>SE-000274122</v>
      </c>
      <c r="D2444" s="4" t="s">
        <v>11</v>
      </c>
      <c r="E2444" s="5">
        <v>0</v>
      </c>
      <c r="F2444" s="5">
        <v>0</v>
      </c>
      <c r="G2444" s="5">
        <v>0</v>
      </c>
      <c r="H2444" s="4" t="s">
        <v>11</v>
      </c>
      <c r="I2444" s="5">
        <v>0</v>
      </c>
      <c r="J2444" s="4">
        <v>45916.294814814813</v>
      </c>
    </row>
    <row r="2445" spans="1:10" x14ac:dyDescent="0.2">
      <c r="A2445" s="2" t="s">
        <v>10</v>
      </c>
      <c r="B2445" s="3" t="str">
        <f t="shared" si="48"/>
        <v>France - HCP Survey Email - June 2025</v>
      </c>
      <c r="C2445" s="3" t="str">
        <f>HYPERLINK("https://otsuka-europe-crm.veevavault.com/ui/#object/sent_email__v/VBLZ025E82GNOYS", "SE-000274123")</f>
        <v>SE-000274123</v>
      </c>
      <c r="D2445" s="4">
        <v>45916.390694444446</v>
      </c>
      <c r="E2445" s="5">
        <v>1</v>
      </c>
      <c r="F2445" s="5">
        <v>1</v>
      </c>
      <c r="G2445" s="5">
        <v>0</v>
      </c>
      <c r="H2445" s="4" t="s">
        <v>11</v>
      </c>
      <c r="I2445" s="5">
        <v>0</v>
      </c>
      <c r="J2445" s="4">
        <v>45916.294537037036</v>
      </c>
    </row>
    <row r="2446" spans="1:10" x14ac:dyDescent="0.2">
      <c r="A2446" s="2" t="s">
        <v>10</v>
      </c>
      <c r="B2446" s="3" t="str">
        <f t="shared" si="48"/>
        <v>France - HCP Survey Email - June 2025</v>
      </c>
      <c r="C2446" s="3" t="str">
        <f>HYPERLINK("https://otsuka-europe-crm.veevavault.com/ui/#object/sent_email__v/VBLZ025E82GNOYT", "SE-000274124")</f>
        <v>SE-000274124</v>
      </c>
      <c r="D2446" s="4">
        <v>45918.81453703704</v>
      </c>
      <c r="E2446" s="5">
        <v>1</v>
      </c>
      <c r="F2446" s="5">
        <v>4</v>
      </c>
      <c r="G2446" s="5">
        <v>0</v>
      </c>
      <c r="H2446" s="4" t="s">
        <v>11</v>
      </c>
      <c r="I2446" s="5">
        <v>0</v>
      </c>
      <c r="J2446" s="4">
        <v>45916.294340277775</v>
      </c>
    </row>
    <row r="2447" spans="1:10" x14ac:dyDescent="0.2">
      <c r="A2447" s="2" t="s">
        <v>10</v>
      </c>
      <c r="B2447" s="3" t="str">
        <f t="shared" si="48"/>
        <v>France - HCP Survey Email - June 2025</v>
      </c>
      <c r="C2447" s="3" t="str">
        <f>HYPERLINK("https://otsuka-europe-crm.veevavault.com/ui/#object/sent_email__v/VBLZ025E82GNOYU", "SE-000274125")</f>
        <v>SE-000274125</v>
      </c>
      <c r="D2447" s="4" t="s">
        <v>11</v>
      </c>
      <c r="E2447" s="5">
        <v>0</v>
      </c>
      <c r="F2447" s="5">
        <v>0</v>
      </c>
      <c r="G2447" s="5">
        <v>0</v>
      </c>
      <c r="H2447" s="4" t="s">
        <v>11</v>
      </c>
      <c r="I2447" s="5">
        <v>0</v>
      </c>
      <c r="J2447" s="4">
        <v>45916.294965277775</v>
      </c>
    </row>
    <row r="2448" spans="1:10" x14ac:dyDescent="0.2">
      <c r="A2448" s="2" t="s">
        <v>10</v>
      </c>
      <c r="B2448" s="3" t="str">
        <f t="shared" si="48"/>
        <v>France - HCP Survey Email - June 2025</v>
      </c>
      <c r="C2448" s="3" t="str">
        <f>HYPERLINK("https://otsuka-europe-crm.veevavault.com/ui/#object/sent_email__v/VBLZ025E82GNOYV", "SE-000274126")</f>
        <v>SE-000274126</v>
      </c>
      <c r="D2448" s="4" t="s">
        <v>11</v>
      </c>
      <c r="E2448" s="5">
        <v>0</v>
      </c>
      <c r="F2448" s="5">
        <v>0</v>
      </c>
      <c r="G2448" s="5">
        <v>0</v>
      </c>
      <c r="H2448" s="4" t="s">
        <v>11</v>
      </c>
      <c r="I2448" s="5">
        <v>0</v>
      </c>
      <c r="J2448" s="4">
        <v>45916.294756944444</v>
      </c>
    </row>
    <row r="2449" spans="1:10" x14ac:dyDescent="0.2">
      <c r="A2449" s="2" t="s">
        <v>10</v>
      </c>
      <c r="B2449" s="3" t="str">
        <f t="shared" si="48"/>
        <v>France - HCP Survey Email - June 2025</v>
      </c>
      <c r="C2449" s="3" t="str">
        <f>HYPERLINK("https://otsuka-europe-crm.veevavault.com/ui/#object/sent_email__v/VBLZ025E82GNOYW", "SE-000274127")</f>
        <v>SE-000274127</v>
      </c>
      <c r="D2449" s="4" t="s">
        <v>11</v>
      </c>
      <c r="E2449" s="5">
        <v>0</v>
      </c>
      <c r="F2449" s="5">
        <v>0</v>
      </c>
      <c r="G2449" s="5">
        <v>0</v>
      </c>
      <c r="H2449" s="4" t="s">
        <v>11</v>
      </c>
      <c r="I2449" s="5">
        <v>0</v>
      </c>
      <c r="J2449" s="4">
        <v>45916.294444444444</v>
      </c>
    </row>
    <row r="2450" spans="1:10" x14ac:dyDescent="0.2">
      <c r="A2450" s="2" t="s">
        <v>10</v>
      </c>
      <c r="B2450" s="3" t="str">
        <f t="shared" si="48"/>
        <v>France - HCP Survey Email - June 2025</v>
      </c>
      <c r="C2450" s="3" t="str">
        <f>HYPERLINK("https://otsuka-europe-crm.veevavault.com/ui/#object/sent_email__v/VBLZ025E82GNOYX", "SE-000274128")</f>
        <v>SE-000274128</v>
      </c>
      <c r="D2450" s="4" t="s">
        <v>11</v>
      </c>
      <c r="E2450" s="5">
        <v>0</v>
      </c>
      <c r="F2450" s="5">
        <v>0</v>
      </c>
      <c r="G2450" s="5">
        <v>0</v>
      </c>
      <c r="H2450" s="4" t="s">
        <v>11</v>
      </c>
      <c r="I2450" s="5">
        <v>0</v>
      </c>
      <c r="J2450" s="4">
        <v>45916.294247685182</v>
      </c>
    </row>
    <row r="2451" spans="1:10" x14ac:dyDescent="0.2">
      <c r="A2451" s="2" t="s">
        <v>10</v>
      </c>
      <c r="B2451" s="3" t="str">
        <f t="shared" si="48"/>
        <v>France - HCP Survey Email - June 2025</v>
      </c>
      <c r="C2451" s="3" t="str">
        <f>HYPERLINK("https://otsuka-europe-crm.veevavault.com/ui/#object/sent_email__v/VBLZ025E82GNOYY", "SE-000274129")</f>
        <v>SE-000274129</v>
      </c>
      <c r="D2451" s="4" t="s">
        <v>11</v>
      </c>
      <c r="E2451" s="5">
        <v>0</v>
      </c>
      <c r="F2451" s="5">
        <v>0</v>
      </c>
      <c r="G2451" s="5">
        <v>0</v>
      </c>
      <c r="H2451" s="4" t="s">
        <v>11</v>
      </c>
      <c r="I2451" s="5">
        <v>0</v>
      </c>
      <c r="J2451" s="4">
        <v>45916.294803240744</v>
      </c>
    </row>
    <row r="2452" spans="1:10" x14ac:dyDescent="0.2">
      <c r="A2452" s="2" t="s">
        <v>10</v>
      </c>
      <c r="B2452" s="3" t="str">
        <f t="shared" si="48"/>
        <v>France - HCP Survey Email - June 2025</v>
      </c>
      <c r="C2452" s="3" t="str">
        <f>HYPERLINK("https://otsuka-europe-crm.veevavault.com/ui/#object/sent_email__v/VBLZ025E82GNOZ0", "SE-000274131")</f>
        <v>SE-000274131</v>
      </c>
      <c r="D2452" s="4" t="s">
        <v>11</v>
      </c>
      <c r="E2452" s="5">
        <v>0</v>
      </c>
      <c r="F2452" s="5">
        <v>0</v>
      </c>
      <c r="G2452" s="5">
        <v>0</v>
      </c>
      <c r="H2452" s="4" t="s">
        <v>11</v>
      </c>
      <c r="I2452" s="5">
        <v>0</v>
      </c>
      <c r="J2452" s="4">
        <v>45916.294282407405</v>
      </c>
    </row>
    <row r="2453" spans="1:10" x14ac:dyDescent="0.2">
      <c r="A2453" s="2" t="s">
        <v>10</v>
      </c>
      <c r="B2453" s="3" t="str">
        <f t="shared" si="48"/>
        <v>France - HCP Survey Email - June 2025</v>
      </c>
      <c r="C2453" s="3" t="str">
        <f>HYPERLINK("https://otsuka-europe-crm.veevavault.com/ui/#object/sent_email__v/VBLZ025E82GNOZ2", "SE-000274133")</f>
        <v>SE-000274133</v>
      </c>
      <c r="D2453" s="4">
        <v>45940.447974537034</v>
      </c>
      <c r="E2453" s="5">
        <v>1</v>
      </c>
      <c r="F2453" s="5">
        <v>2</v>
      </c>
      <c r="G2453" s="5">
        <v>0</v>
      </c>
      <c r="H2453" s="4" t="s">
        <v>11</v>
      </c>
      <c r="I2453" s="5">
        <v>0</v>
      </c>
      <c r="J2453" s="4">
        <v>45916.294699074075</v>
      </c>
    </row>
    <row r="2454" spans="1:10" x14ac:dyDescent="0.2">
      <c r="A2454" s="2" t="s">
        <v>10</v>
      </c>
      <c r="B2454" s="3" t="str">
        <f t="shared" si="48"/>
        <v>France - HCP Survey Email - June 2025</v>
      </c>
      <c r="C2454" s="3" t="str">
        <f>HYPERLINK("https://otsuka-europe-crm.veevavault.com/ui/#object/sent_email__v/VBLZ025E82GNOZ3", "SE-000274134")</f>
        <v>SE-000274134</v>
      </c>
      <c r="D2454" s="4" t="s">
        <v>11</v>
      </c>
      <c r="E2454" s="5">
        <v>0</v>
      </c>
      <c r="F2454" s="5">
        <v>0</v>
      </c>
      <c r="G2454" s="5">
        <v>0</v>
      </c>
      <c r="H2454" s="4" t="s">
        <v>11</v>
      </c>
      <c r="I2454" s="5">
        <v>0</v>
      </c>
      <c r="J2454" s="4">
        <v>45916.294548611113</v>
      </c>
    </row>
    <row r="2455" spans="1:10" x14ac:dyDescent="0.2">
      <c r="A2455" s="2" t="s">
        <v>10</v>
      </c>
      <c r="B2455" s="3" t="str">
        <f t="shared" si="48"/>
        <v>France - HCP Survey Email - June 2025</v>
      </c>
      <c r="C2455" s="3" t="str">
        <f>HYPERLINK("https://otsuka-europe-crm.veevavault.com/ui/#object/sent_email__v/VBLZ025E82GNOZ4", "SE-000274135")</f>
        <v>SE-000274135</v>
      </c>
      <c r="D2455" s="4" t="s">
        <v>11</v>
      </c>
      <c r="E2455" s="5">
        <v>0</v>
      </c>
      <c r="F2455" s="5">
        <v>0</v>
      </c>
      <c r="G2455" s="5">
        <v>0</v>
      </c>
      <c r="H2455" s="4" t="s">
        <v>11</v>
      </c>
      <c r="I2455" s="5">
        <v>0</v>
      </c>
      <c r="J2455" s="4">
        <v>45916.294351851851</v>
      </c>
    </row>
    <row r="2456" spans="1:10" x14ac:dyDescent="0.2">
      <c r="A2456" s="2" t="s">
        <v>10</v>
      </c>
      <c r="B2456" s="3" t="str">
        <f t="shared" si="48"/>
        <v>France - HCP Survey Email - June 2025</v>
      </c>
      <c r="C2456" s="3" t="str">
        <f>HYPERLINK("https://otsuka-europe-crm.veevavault.com/ui/#object/sent_email__v/VBLZ025E82GNOZ5", "SE-000274136")</f>
        <v>SE-000274136</v>
      </c>
      <c r="D2456" s="4" t="s">
        <v>11</v>
      </c>
      <c r="E2456" s="5">
        <v>0</v>
      </c>
      <c r="F2456" s="5">
        <v>0</v>
      </c>
      <c r="G2456" s="5">
        <v>0</v>
      </c>
      <c r="H2456" s="4" t="s">
        <v>11</v>
      </c>
      <c r="I2456" s="5">
        <v>0</v>
      </c>
      <c r="J2456" s="4">
        <v>45916.294942129629</v>
      </c>
    </row>
    <row r="2457" spans="1:10" x14ac:dyDescent="0.2">
      <c r="A2457" s="2" t="s">
        <v>10</v>
      </c>
      <c r="B2457" s="3" t="str">
        <f t="shared" si="48"/>
        <v>France - HCP Survey Email - June 2025</v>
      </c>
      <c r="C2457" s="3" t="str">
        <f>HYPERLINK("https://otsuka-europe-crm.veevavault.com/ui/#object/sent_email__v/VBLZ025E82GNOZ6", "SE-000274137")</f>
        <v>SE-000274137</v>
      </c>
      <c r="D2457" s="4">
        <v>45916.294745370367</v>
      </c>
      <c r="E2457" s="5">
        <v>1</v>
      </c>
      <c r="F2457" s="5">
        <v>1</v>
      </c>
      <c r="G2457" s="5">
        <v>1</v>
      </c>
      <c r="H2457" s="4">
        <v>45916.294930555552</v>
      </c>
      <c r="I2457" s="5">
        <v>1</v>
      </c>
      <c r="J2457" s="4">
        <v>45916.294699074075</v>
      </c>
    </row>
    <row r="2458" spans="1:10" x14ac:dyDescent="0.2">
      <c r="A2458" s="2" t="s">
        <v>10</v>
      </c>
      <c r="B2458" s="3" t="str">
        <f t="shared" si="48"/>
        <v>France - HCP Survey Email - June 2025</v>
      </c>
      <c r="C2458" s="3" t="str">
        <f>HYPERLINK("https://otsuka-europe-crm.veevavault.com/ui/#object/sent_email__v/VBLZ025E82GNOZ7", "SE-000274138")</f>
        <v>SE-000274138</v>
      </c>
      <c r="D2458" s="4">
        <v>45917.614155092589</v>
      </c>
      <c r="E2458" s="5">
        <v>1</v>
      </c>
      <c r="F2458" s="5">
        <v>1</v>
      </c>
      <c r="G2458" s="5">
        <v>0</v>
      </c>
      <c r="H2458" s="4" t="s">
        <v>11</v>
      </c>
      <c r="I2458" s="5">
        <v>0</v>
      </c>
      <c r="J2458" s="4">
        <v>45916.294444444444</v>
      </c>
    </row>
    <row r="2459" spans="1:10" x14ac:dyDescent="0.2">
      <c r="A2459" s="2" t="s">
        <v>10</v>
      </c>
      <c r="B2459" s="3" t="str">
        <f t="shared" si="48"/>
        <v>France - HCP Survey Email - June 2025</v>
      </c>
      <c r="C2459" s="3" t="str">
        <f>HYPERLINK("https://otsuka-europe-crm.veevavault.com/ui/#object/sent_email__v/VBLZ025E82GNOZ8", "SE-000274139")</f>
        <v>SE-000274139</v>
      </c>
      <c r="D2459" s="4" t="s">
        <v>11</v>
      </c>
      <c r="E2459" s="5">
        <v>0</v>
      </c>
      <c r="F2459" s="5">
        <v>0</v>
      </c>
      <c r="G2459" s="5">
        <v>0</v>
      </c>
      <c r="H2459" s="4" t="s">
        <v>11</v>
      </c>
      <c r="I2459" s="5">
        <v>0</v>
      </c>
      <c r="J2459" s="4">
        <v>45916.294270833336</v>
      </c>
    </row>
    <row r="2460" spans="1:10" x14ac:dyDescent="0.2">
      <c r="A2460" s="2" t="s">
        <v>10</v>
      </c>
      <c r="B2460" s="3" t="str">
        <f t="shared" si="48"/>
        <v>France - HCP Survey Email - June 2025</v>
      </c>
      <c r="C2460" s="3" t="str">
        <f>HYPERLINK("https://otsuka-europe-crm.veevavault.com/ui/#object/sent_email__v/VBLZ025E82GNOZ9", "SE-000274140")</f>
        <v>SE-000274140</v>
      </c>
      <c r="D2460" s="4" t="s">
        <v>11</v>
      </c>
      <c r="E2460" s="5">
        <v>0</v>
      </c>
      <c r="F2460" s="5">
        <v>0</v>
      </c>
      <c r="G2460" s="5">
        <v>0</v>
      </c>
      <c r="H2460" s="4" t="s">
        <v>11</v>
      </c>
      <c r="I2460" s="5">
        <v>0</v>
      </c>
      <c r="J2460" s="4">
        <v>45916.294849537036</v>
      </c>
    </row>
    <row r="2461" spans="1:10" x14ac:dyDescent="0.2">
      <c r="A2461" s="2" t="s">
        <v>10</v>
      </c>
      <c r="B2461" s="3" t="str">
        <f t="shared" si="48"/>
        <v>France - HCP Survey Email - June 2025</v>
      </c>
      <c r="C2461" s="3" t="str">
        <f>HYPERLINK("https://otsuka-europe-crm.veevavault.com/ui/#object/sent_email__v/VBLZ025E82GNOZA", "SE-000274141")</f>
        <v>SE-000274141</v>
      </c>
      <c r="D2461" s="4" t="s">
        <v>11</v>
      </c>
      <c r="E2461" s="5">
        <v>0</v>
      </c>
      <c r="F2461" s="5">
        <v>0</v>
      </c>
      <c r="G2461" s="5">
        <v>0</v>
      </c>
      <c r="H2461" s="4" t="s">
        <v>11</v>
      </c>
      <c r="I2461" s="5">
        <v>0</v>
      </c>
      <c r="J2461" s="4">
        <v>45916.294571759259</v>
      </c>
    </row>
    <row r="2462" spans="1:10" x14ac:dyDescent="0.2">
      <c r="A2462" s="2" t="s">
        <v>10</v>
      </c>
      <c r="B2462" s="3" t="str">
        <f t="shared" si="48"/>
        <v>France - HCP Survey Email - June 2025</v>
      </c>
      <c r="C2462" s="3" t="str">
        <f>HYPERLINK("https://otsuka-europe-crm.veevavault.com/ui/#object/sent_email__v/VBLZ025E82GNOZC", "SE-000274143")</f>
        <v>SE-000274143</v>
      </c>
      <c r="D2462" s="4" t="s">
        <v>11</v>
      </c>
      <c r="E2462" s="5">
        <v>0</v>
      </c>
      <c r="F2462" s="5">
        <v>0</v>
      </c>
      <c r="G2462" s="5">
        <v>0</v>
      </c>
      <c r="H2462" s="4" t="s">
        <v>11</v>
      </c>
      <c r="I2462" s="5">
        <v>0</v>
      </c>
      <c r="J2462" s="4">
        <v>45916.294965277775</v>
      </c>
    </row>
    <row r="2463" spans="1:10" x14ac:dyDescent="0.2">
      <c r="A2463" s="2" t="s">
        <v>10</v>
      </c>
      <c r="B2463" s="3" t="str">
        <f t="shared" si="48"/>
        <v>France - HCP Survey Email - June 2025</v>
      </c>
      <c r="C2463" s="3" t="str">
        <f>HYPERLINK("https://otsuka-europe-crm.veevavault.com/ui/#object/sent_email__v/VBLZ025E82GNOZD", "SE-000274144")</f>
        <v>SE-000274144</v>
      </c>
      <c r="D2463" s="4" t="s">
        <v>11</v>
      </c>
      <c r="E2463" s="5">
        <v>0</v>
      </c>
      <c r="F2463" s="5">
        <v>0</v>
      </c>
      <c r="G2463" s="5">
        <v>0</v>
      </c>
      <c r="H2463" s="4" t="s">
        <v>11</v>
      </c>
      <c r="I2463" s="5">
        <v>0</v>
      </c>
      <c r="J2463" s="4">
        <v>45916.294722222221</v>
      </c>
    </row>
    <row r="2464" spans="1:10" x14ac:dyDescent="0.2">
      <c r="A2464" s="2" t="s">
        <v>10</v>
      </c>
      <c r="B2464" s="3" t="str">
        <f t="shared" si="48"/>
        <v>France - HCP Survey Email - June 2025</v>
      </c>
      <c r="C2464" s="3" t="str">
        <f>HYPERLINK("https://otsuka-europe-crm.veevavault.com/ui/#object/sent_email__v/VBLZ025E82GNOZE", "SE-000274145")</f>
        <v>SE-000274145</v>
      </c>
      <c r="D2464" s="4">
        <v>45916.309976851851</v>
      </c>
      <c r="E2464" s="5">
        <v>1</v>
      </c>
      <c r="F2464" s="5">
        <v>1</v>
      </c>
      <c r="G2464" s="5">
        <v>0</v>
      </c>
      <c r="H2464" s="4" t="s">
        <v>11</v>
      </c>
      <c r="I2464" s="5">
        <v>0</v>
      </c>
      <c r="J2464" s="4">
        <v>45916.29446759259</v>
      </c>
    </row>
    <row r="2465" spans="1:10" x14ac:dyDescent="0.2">
      <c r="A2465" s="2" t="s">
        <v>10</v>
      </c>
      <c r="B2465" s="3" t="str">
        <f t="shared" si="48"/>
        <v>France - HCP Survey Email - June 2025</v>
      </c>
      <c r="C2465" s="3" t="str">
        <f>HYPERLINK("https://otsuka-europe-crm.veevavault.com/ui/#object/sent_email__v/VBLZ025E82GNOZG", "SE-000274147")</f>
        <v>SE-000274147</v>
      </c>
      <c r="D2465" s="4">
        <v>45916.322685185187</v>
      </c>
      <c r="E2465" s="5">
        <v>1</v>
      </c>
      <c r="F2465" s="5">
        <v>2</v>
      </c>
      <c r="G2465" s="5">
        <v>0</v>
      </c>
      <c r="H2465" s="4" t="s">
        <v>11</v>
      </c>
      <c r="I2465" s="5">
        <v>0</v>
      </c>
      <c r="J2465" s="4">
        <v>45916.294988425929</v>
      </c>
    </row>
    <row r="2466" spans="1:10" x14ac:dyDescent="0.2">
      <c r="A2466" s="2" t="s">
        <v>10</v>
      </c>
      <c r="B2466" s="3" t="str">
        <f t="shared" si="48"/>
        <v>France - HCP Survey Email - June 2025</v>
      </c>
      <c r="C2466" s="3" t="str">
        <f>HYPERLINK("https://otsuka-europe-crm.veevavault.com/ui/#object/sent_email__v/VBLZ025E82GNOZH", "SE-000274148")</f>
        <v>SE-000274148</v>
      </c>
      <c r="D2466" s="4" t="s">
        <v>11</v>
      </c>
      <c r="E2466" s="5">
        <v>0</v>
      </c>
      <c r="F2466" s="5">
        <v>0</v>
      </c>
      <c r="G2466" s="5">
        <v>0</v>
      </c>
      <c r="H2466" s="4" t="s">
        <v>11</v>
      </c>
      <c r="I2466" s="5">
        <v>0</v>
      </c>
      <c r="J2466" s="4">
        <v>45916.294652777775</v>
      </c>
    </row>
    <row r="2467" spans="1:10" x14ac:dyDescent="0.2">
      <c r="A2467" s="2" t="s">
        <v>10</v>
      </c>
      <c r="B2467" s="3" t="str">
        <f t="shared" si="48"/>
        <v>France - HCP Survey Email - June 2025</v>
      </c>
      <c r="C2467" s="3" t="str">
        <f>HYPERLINK("https://otsuka-europe-crm.veevavault.com/ui/#object/sent_email__v/VBLZ025E82GNOZI", "SE-000274149")</f>
        <v>SE-000274149</v>
      </c>
      <c r="D2467" s="4" t="s">
        <v>11</v>
      </c>
      <c r="E2467" s="5">
        <v>0</v>
      </c>
      <c r="F2467" s="5">
        <v>0</v>
      </c>
      <c r="G2467" s="5">
        <v>0</v>
      </c>
      <c r="H2467" s="4" t="s">
        <v>11</v>
      </c>
      <c r="I2467" s="5">
        <v>0</v>
      </c>
      <c r="J2467" s="4">
        <v>45916.294386574074</v>
      </c>
    </row>
    <row r="2468" spans="1:10" x14ac:dyDescent="0.2">
      <c r="A2468" s="2" t="s">
        <v>10</v>
      </c>
      <c r="B2468" s="3" t="str">
        <f t="shared" si="48"/>
        <v>France - HCP Survey Email - June 2025</v>
      </c>
      <c r="C2468" s="3" t="str">
        <f>HYPERLINK("https://otsuka-europe-crm.veevavault.com/ui/#object/sent_email__v/VBLZ025E82GNOZJ", "SE-000274150")</f>
        <v>SE-000274150</v>
      </c>
      <c r="D2468" s="4" t="s">
        <v>11</v>
      </c>
      <c r="E2468" s="5">
        <v>0</v>
      </c>
      <c r="F2468" s="5">
        <v>0</v>
      </c>
      <c r="G2468" s="5">
        <v>0</v>
      </c>
      <c r="H2468" s="4" t="s">
        <v>11</v>
      </c>
      <c r="I2468" s="5">
        <v>0</v>
      </c>
      <c r="J2468" s="4">
        <v>45916.294282407405</v>
      </c>
    </row>
    <row r="2469" spans="1:10" x14ac:dyDescent="0.2">
      <c r="A2469" s="2" t="s">
        <v>10</v>
      </c>
      <c r="B2469" s="3" t="str">
        <f t="shared" si="48"/>
        <v>France - HCP Survey Email - June 2025</v>
      </c>
      <c r="C2469" s="3" t="str">
        <f>HYPERLINK("https://otsuka-europe-crm.veevavault.com/ui/#object/sent_email__v/VBLZ025E82GNOZK", "SE-000274151")</f>
        <v>SE-000274151</v>
      </c>
      <c r="D2469" s="4" t="s">
        <v>11</v>
      </c>
      <c r="E2469" s="5">
        <v>0</v>
      </c>
      <c r="F2469" s="5">
        <v>0</v>
      </c>
      <c r="G2469" s="5">
        <v>0</v>
      </c>
      <c r="H2469" s="4" t="s">
        <v>11</v>
      </c>
      <c r="I2469" s="5">
        <v>0</v>
      </c>
      <c r="J2469" s="4">
        <v>45916.294803240744</v>
      </c>
    </row>
    <row r="2470" spans="1:10" x14ac:dyDescent="0.2">
      <c r="A2470" s="2" t="s">
        <v>10</v>
      </c>
      <c r="B2470" s="3" t="str">
        <f t="shared" si="48"/>
        <v>France - HCP Survey Email - June 2025</v>
      </c>
      <c r="C2470" s="3" t="str">
        <f>HYPERLINK("https://otsuka-europe-crm.veevavault.com/ui/#object/sent_email__v/VBLZ025E82GNOZL", "SE-000274152")</f>
        <v>SE-000274152</v>
      </c>
      <c r="D2470" s="4">
        <v>45917.354942129627</v>
      </c>
      <c r="E2470" s="5">
        <v>1</v>
      </c>
      <c r="F2470" s="5">
        <v>1</v>
      </c>
      <c r="G2470" s="5">
        <v>1</v>
      </c>
      <c r="H2470" s="4">
        <v>45917.354942129627</v>
      </c>
      <c r="I2470" s="5">
        <v>1</v>
      </c>
      <c r="J2470" s="4">
        <v>45916.294629629629</v>
      </c>
    </row>
    <row r="2471" spans="1:10" x14ac:dyDescent="0.2">
      <c r="A2471" s="2" t="s">
        <v>10</v>
      </c>
      <c r="B2471" s="3" t="str">
        <f t="shared" si="48"/>
        <v>France - HCP Survey Email - June 2025</v>
      </c>
      <c r="C2471" s="3" t="str">
        <f>HYPERLINK("https://otsuka-europe-crm.veevavault.com/ui/#object/sent_email__v/VBLZ025E82GNOZM", "SE-000274153")</f>
        <v>SE-000274153</v>
      </c>
      <c r="D2471" s="4" t="s">
        <v>11</v>
      </c>
      <c r="E2471" s="5">
        <v>0</v>
      </c>
      <c r="F2471" s="5">
        <v>0</v>
      </c>
      <c r="G2471" s="5">
        <v>0</v>
      </c>
      <c r="H2471" s="4" t="s">
        <v>11</v>
      </c>
      <c r="I2471" s="5">
        <v>0</v>
      </c>
      <c r="J2471" s="4">
        <v>45916.294340277775</v>
      </c>
    </row>
    <row r="2472" spans="1:10" x14ac:dyDescent="0.2">
      <c r="A2472" s="2" t="s">
        <v>10</v>
      </c>
      <c r="B2472" s="3" t="str">
        <f t="shared" si="48"/>
        <v>France - HCP Survey Email - June 2025</v>
      </c>
      <c r="C2472" s="3" t="str">
        <f>HYPERLINK("https://otsuka-europe-crm.veevavault.com/ui/#object/sent_email__v/VBLZ025E82GNOZN", "SE-000274154")</f>
        <v>SE-000274154</v>
      </c>
      <c r="D2472" s="4">
        <v>45920.722858796296</v>
      </c>
      <c r="E2472" s="5">
        <v>1</v>
      </c>
      <c r="F2472" s="5">
        <v>1</v>
      </c>
      <c r="G2472" s="5">
        <v>0</v>
      </c>
      <c r="H2472" s="4" t="s">
        <v>11</v>
      </c>
      <c r="I2472" s="5">
        <v>0</v>
      </c>
      <c r="J2472" s="4">
        <v>45916.295057870368</v>
      </c>
    </row>
    <row r="2473" spans="1:10" x14ac:dyDescent="0.2">
      <c r="A2473" s="2" t="s">
        <v>10</v>
      </c>
      <c r="B2473" s="3" t="str">
        <f t="shared" si="48"/>
        <v>France - HCP Survey Email - June 2025</v>
      </c>
      <c r="C2473" s="3" t="str">
        <f>HYPERLINK("https://otsuka-europe-crm.veevavault.com/ui/#object/sent_email__v/VBLZ025E82GNOZO", "SE-000274155")</f>
        <v>SE-000274155</v>
      </c>
      <c r="D2473" s="4" t="s">
        <v>11</v>
      </c>
      <c r="E2473" s="5">
        <v>0</v>
      </c>
      <c r="F2473" s="5">
        <v>0</v>
      </c>
      <c r="G2473" s="5">
        <v>0</v>
      </c>
      <c r="H2473" s="4" t="s">
        <v>11</v>
      </c>
      <c r="I2473" s="5">
        <v>0</v>
      </c>
      <c r="J2473" s="4">
        <v>45916.29478009259</v>
      </c>
    </row>
    <row r="2474" spans="1:10" x14ac:dyDescent="0.2">
      <c r="A2474" s="2" t="s">
        <v>10</v>
      </c>
      <c r="B2474" s="3" t="str">
        <f t="shared" si="48"/>
        <v>France - HCP Survey Email - June 2025</v>
      </c>
      <c r="C2474" s="3" t="str">
        <f>HYPERLINK("https://otsuka-europe-crm.veevavault.com/ui/#object/sent_email__v/VBLZ025E82GNOZP", "SE-000274156")</f>
        <v>SE-000274156</v>
      </c>
      <c r="D2474" s="4" t="s">
        <v>11</v>
      </c>
      <c r="E2474" s="5">
        <v>0</v>
      </c>
      <c r="F2474" s="5">
        <v>0</v>
      </c>
      <c r="G2474" s="5">
        <v>0</v>
      </c>
      <c r="H2474" s="4" t="s">
        <v>11</v>
      </c>
      <c r="I2474" s="5">
        <v>0</v>
      </c>
      <c r="J2474" s="4">
        <v>45916.294560185182</v>
      </c>
    </row>
    <row r="2475" spans="1:10" x14ac:dyDescent="0.2">
      <c r="A2475" s="2" t="s">
        <v>10</v>
      </c>
      <c r="B2475" s="3" t="str">
        <f t="shared" si="48"/>
        <v>France - HCP Survey Email - June 2025</v>
      </c>
      <c r="C2475" s="3" t="str">
        <f>HYPERLINK("https://otsuka-europe-crm.veevavault.com/ui/#object/sent_email__v/VBLZ025E82GNOZR", "SE-000274158")</f>
        <v>SE-000274158</v>
      </c>
      <c r="D2475" s="4" t="s">
        <v>11</v>
      </c>
      <c r="E2475" s="5">
        <v>0</v>
      </c>
      <c r="F2475" s="5">
        <v>0</v>
      </c>
      <c r="G2475" s="5">
        <v>0</v>
      </c>
      <c r="H2475" s="4" t="s">
        <v>11</v>
      </c>
      <c r="I2475" s="5">
        <v>0</v>
      </c>
      <c r="J2475" s="4">
        <v>45916.294965277775</v>
      </c>
    </row>
    <row r="2476" spans="1:10" x14ac:dyDescent="0.2">
      <c r="A2476" s="2" t="s">
        <v>10</v>
      </c>
      <c r="B2476" s="3" t="str">
        <f t="shared" si="48"/>
        <v>France - HCP Survey Email - June 2025</v>
      </c>
      <c r="C2476" s="3" t="str">
        <f>HYPERLINK("https://otsuka-europe-crm.veevavault.com/ui/#object/sent_email__v/VBLZ025E82GNOZS", "SE-000274159")</f>
        <v>SE-000274159</v>
      </c>
      <c r="D2476" s="4" t="s">
        <v>11</v>
      </c>
      <c r="E2476" s="5">
        <v>0</v>
      </c>
      <c r="F2476" s="5">
        <v>0</v>
      </c>
      <c r="G2476" s="5">
        <v>0</v>
      </c>
      <c r="H2476" s="4" t="s">
        <v>11</v>
      </c>
      <c r="I2476" s="5">
        <v>0</v>
      </c>
      <c r="J2476" s="4">
        <v>45916.294699074075</v>
      </c>
    </row>
    <row r="2477" spans="1:10" x14ac:dyDescent="0.2">
      <c r="A2477" s="2" t="s">
        <v>10</v>
      </c>
      <c r="B2477" s="3" t="str">
        <f t="shared" si="48"/>
        <v>France - HCP Survey Email - June 2025</v>
      </c>
      <c r="C2477" s="3" t="str">
        <f>HYPERLINK("https://otsuka-europe-crm.veevavault.com/ui/#object/sent_email__v/VBLZ025E82GNOZT", "SE-000274160")</f>
        <v>SE-000274160</v>
      </c>
      <c r="D2477" s="4">
        <v>45917.390844907408</v>
      </c>
      <c r="E2477" s="5">
        <v>1</v>
      </c>
      <c r="F2477" s="5">
        <v>2</v>
      </c>
      <c r="G2477" s="5">
        <v>0</v>
      </c>
      <c r="H2477" s="4" t="s">
        <v>11</v>
      </c>
      <c r="I2477" s="5">
        <v>0</v>
      </c>
      <c r="J2477" s="4">
        <v>45916.294594907406</v>
      </c>
    </row>
    <row r="2478" spans="1:10" x14ac:dyDescent="0.2">
      <c r="A2478" s="2" t="s">
        <v>10</v>
      </c>
      <c r="B2478" s="3" t="str">
        <f t="shared" si="48"/>
        <v>France - HCP Survey Email - June 2025</v>
      </c>
      <c r="C2478" s="3" t="str">
        <f>HYPERLINK("https://otsuka-europe-crm.veevavault.com/ui/#object/sent_email__v/VBLZ025E82GNOZU", "SE-000274161")</f>
        <v>SE-000274161</v>
      </c>
      <c r="D2478" s="4">
        <v>45916.885034722225</v>
      </c>
      <c r="E2478" s="5">
        <v>1</v>
      </c>
      <c r="F2478" s="5">
        <v>4</v>
      </c>
      <c r="G2478" s="5">
        <v>1</v>
      </c>
      <c r="H2478" s="4">
        <v>45916.884791666664</v>
      </c>
      <c r="I2478" s="5">
        <v>1</v>
      </c>
      <c r="J2478" s="4">
        <v>45916.294305555559</v>
      </c>
    </row>
    <row r="2479" spans="1:10" x14ac:dyDescent="0.2">
      <c r="A2479" s="2" t="s">
        <v>10</v>
      </c>
      <c r="B2479" s="3" t="str">
        <f t="shared" si="48"/>
        <v>France - HCP Survey Email - June 2025</v>
      </c>
      <c r="C2479" s="3" t="str">
        <f>HYPERLINK("https://otsuka-europe-crm.veevavault.com/ui/#object/sent_email__v/VBLZ025E82GNOZV", "SE-000274162")</f>
        <v>SE-000274162</v>
      </c>
      <c r="D2479" s="4" t="s">
        <v>11</v>
      </c>
      <c r="E2479" s="5">
        <v>0</v>
      </c>
      <c r="F2479" s="5">
        <v>0</v>
      </c>
      <c r="G2479" s="5">
        <v>0</v>
      </c>
      <c r="H2479" s="4" t="s">
        <v>11</v>
      </c>
      <c r="I2479" s="5">
        <v>0</v>
      </c>
      <c r="J2479" s="4">
        <v>45916.29488425926</v>
      </c>
    </row>
    <row r="2480" spans="1:10" x14ac:dyDescent="0.2">
      <c r="A2480" s="2" t="s">
        <v>10</v>
      </c>
      <c r="B2480" s="3" t="str">
        <f t="shared" si="48"/>
        <v>France - HCP Survey Email - June 2025</v>
      </c>
      <c r="C2480" s="3" t="str">
        <f>HYPERLINK("https://otsuka-europe-crm.veevavault.com/ui/#object/sent_email__v/VBLZ025E82GNOZW", "SE-000274163")</f>
        <v>SE-000274163</v>
      </c>
      <c r="D2480" s="4" t="s">
        <v>11</v>
      </c>
      <c r="E2480" s="5">
        <v>0</v>
      </c>
      <c r="F2480" s="5">
        <v>0</v>
      </c>
      <c r="G2480" s="5">
        <v>0</v>
      </c>
      <c r="H2480" s="4" t="s">
        <v>11</v>
      </c>
      <c r="I2480" s="5">
        <v>0</v>
      </c>
      <c r="J2480" s="4">
        <v>45916.294710648152</v>
      </c>
    </row>
    <row r="2481" spans="1:10" x14ac:dyDescent="0.2">
      <c r="A2481" s="2" t="s">
        <v>10</v>
      </c>
      <c r="B2481" s="3" t="str">
        <f t="shared" si="48"/>
        <v>France - HCP Survey Email - June 2025</v>
      </c>
      <c r="C2481" s="3" t="str">
        <f>HYPERLINK("https://otsuka-europe-crm.veevavault.com/ui/#object/sent_email__v/VBLZ025E82GNOZX", "SE-000274164")</f>
        <v>SE-000274164</v>
      </c>
      <c r="D2481" s="4" t="s">
        <v>11</v>
      </c>
      <c r="E2481" s="5">
        <v>0</v>
      </c>
      <c r="F2481" s="5">
        <v>0</v>
      </c>
      <c r="G2481" s="5">
        <v>0</v>
      </c>
      <c r="H2481" s="4" t="s">
        <v>11</v>
      </c>
      <c r="I2481" s="5">
        <v>0</v>
      </c>
      <c r="J2481" s="4">
        <v>45916.294409722221</v>
      </c>
    </row>
    <row r="2482" spans="1:10" x14ac:dyDescent="0.2">
      <c r="A2482" s="2" t="s">
        <v>10</v>
      </c>
      <c r="B2482" s="3" t="str">
        <f t="shared" si="48"/>
        <v>France - HCP Survey Email - June 2025</v>
      </c>
      <c r="C2482" s="3" t="str">
        <f>HYPERLINK("https://otsuka-europe-crm.veevavault.com/ui/#object/sent_email__v/VBLZ025E82GNOZY", "SE-000274165")</f>
        <v>SE-000274165</v>
      </c>
      <c r="D2482" s="4" t="s">
        <v>11</v>
      </c>
      <c r="E2482" s="5">
        <v>0</v>
      </c>
      <c r="F2482" s="5">
        <v>0</v>
      </c>
      <c r="G2482" s="5">
        <v>0</v>
      </c>
      <c r="H2482" s="4" t="s">
        <v>11</v>
      </c>
      <c r="I2482" s="5">
        <v>0</v>
      </c>
      <c r="J2482" s="4">
        <v>45916.294259259259</v>
      </c>
    </row>
    <row r="2483" spans="1:10" x14ac:dyDescent="0.2">
      <c r="A2483" s="2" t="s">
        <v>10</v>
      </c>
      <c r="B2483" s="3" t="str">
        <f t="shared" si="48"/>
        <v>France - HCP Survey Email - June 2025</v>
      </c>
      <c r="C2483" s="3" t="str">
        <f>HYPERLINK("https://otsuka-europe-crm.veevavault.com/ui/#object/sent_email__v/VBLZ025E82GNOZZ", "SE-000274166")</f>
        <v>SE-000274166</v>
      </c>
      <c r="D2483" s="4" t="s">
        <v>11</v>
      </c>
      <c r="E2483" s="5">
        <v>0</v>
      </c>
      <c r="F2483" s="5">
        <v>0</v>
      </c>
      <c r="G2483" s="5">
        <v>0</v>
      </c>
      <c r="H2483" s="4" t="s">
        <v>11</v>
      </c>
      <c r="I2483" s="5">
        <v>0</v>
      </c>
      <c r="J2483" s="4">
        <v>45916.294872685183</v>
      </c>
    </row>
    <row r="2484" spans="1:10" x14ac:dyDescent="0.2">
      <c r="A2484" s="2" t="s">
        <v>10</v>
      </c>
      <c r="B2484" s="3" t="str">
        <f t="shared" si="48"/>
        <v>France - HCP Survey Email - June 2025</v>
      </c>
      <c r="C2484" s="3" t="str">
        <f>HYPERLINK("https://otsuka-europe-crm.veevavault.com/ui/#object/sent_email__v/VBLZ025E82GNP00", "SE-000274167")</f>
        <v>SE-000274167</v>
      </c>
      <c r="D2484" s="4" t="s">
        <v>11</v>
      </c>
      <c r="E2484" s="5">
        <v>0</v>
      </c>
      <c r="F2484" s="5">
        <v>0</v>
      </c>
      <c r="G2484" s="5">
        <v>0</v>
      </c>
      <c r="H2484" s="4" t="s">
        <v>11</v>
      </c>
      <c r="I2484" s="5">
        <v>0</v>
      </c>
      <c r="J2484" s="4">
        <v>45916.294525462959</v>
      </c>
    </row>
    <row r="2485" spans="1:10" x14ac:dyDescent="0.2">
      <c r="A2485" s="2" t="s">
        <v>10</v>
      </c>
      <c r="B2485" s="3" t="str">
        <f t="shared" si="48"/>
        <v>France - HCP Survey Email - June 2025</v>
      </c>
      <c r="C2485" s="3" t="str">
        <f>HYPERLINK("https://otsuka-europe-crm.veevavault.com/ui/#object/sent_email__v/VBLZ025E82GNP01", "SE-000274168")</f>
        <v>SE-000274168</v>
      </c>
      <c r="D2485" s="4" t="s">
        <v>11</v>
      </c>
      <c r="E2485" s="5">
        <v>0</v>
      </c>
      <c r="F2485" s="5">
        <v>0</v>
      </c>
      <c r="G2485" s="5">
        <v>0</v>
      </c>
      <c r="H2485" s="4" t="s">
        <v>11</v>
      </c>
      <c r="I2485" s="5">
        <v>0</v>
      </c>
      <c r="J2485" s="4">
        <v>45916.294386574074</v>
      </c>
    </row>
    <row r="2486" spans="1:10" x14ac:dyDescent="0.2">
      <c r="A2486" s="2" t="s">
        <v>10</v>
      </c>
      <c r="B2486" s="3" t="str">
        <f t="shared" si="48"/>
        <v>France - HCP Survey Email - June 2025</v>
      </c>
      <c r="C2486" s="3" t="str">
        <f>HYPERLINK("https://otsuka-europe-crm.veevavault.com/ui/#object/sent_email__v/VBLZ025E82GNP02", "SE-000274169")</f>
        <v>SE-000274169</v>
      </c>
      <c r="D2486" s="4" t="s">
        <v>11</v>
      </c>
      <c r="E2486" s="5">
        <v>0</v>
      </c>
      <c r="F2486" s="5">
        <v>0</v>
      </c>
      <c r="G2486" s="5">
        <v>0</v>
      </c>
      <c r="H2486" s="4" t="s">
        <v>11</v>
      </c>
      <c r="I2486" s="5">
        <v>0</v>
      </c>
      <c r="J2486" s="4">
        <v>45916.294999999998</v>
      </c>
    </row>
    <row r="2487" spans="1:10" x14ac:dyDescent="0.2">
      <c r="A2487" s="2" t="s">
        <v>10</v>
      </c>
      <c r="B2487" s="3" t="str">
        <f t="shared" si="48"/>
        <v>France - HCP Survey Email - June 2025</v>
      </c>
      <c r="C2487" s="3" t="str">
        <f>HYPERLINK("https://otsuka-europe-crm.veevavault.com/ui/#object/sent_email__v/VBLZ025E82GNP03", "SE-000274170")</f>
        <v>SE-000274170</v>
      </c>
      <c r="D2487" s="4" t="s">
        <v>11</v>
      </c>
      <c r="E2487" s="5">
        <v>0</v>
      </c>
      <c r="F2487" s="5">
        <v>0</v>
      </c>
      <c r="G2487" s="5">
        <v>0</v>
      </c>
      <c r="H2487" s="4" t="s">
        <v>11</v>
      </c>
      <c r="I2487" s="5">
        <v>0</v>
      </c>
      <c r="J2487" s="4">
        <v>45916.294814814813</v>
      </c>
    </row>
    <row r="2488" spans="1:10" x14ac:dyDescent="0.2">
      <c r="A2488" s="2" t="s">
        <v>10</v>
      </c>
      <c r="B2488" s="3" t="str">
        <f t="shared" si="48"/>
        <v>France - HCP Survey Email - June 2025</v>
      </c>
      <c r="C2488" s="3" t="str">
        <f>HYPERLINK("https://otsuka-europe-crm.veevavault.com/ui/#object/sent_email__v/VBLZ025E82GNP04", "SE-000274171")</f>
        <v>SE-000274171</v>
      </c>
      <c r="D2488" s="4" t="s">
        <v>11</v>
      </c>
      <c r="E2488" s="5">
        <v>0</v>
      </c>
      <c r="F2488" s="5">
        <v>0</v>
      </c>
      <c r="G2488" s="5">
        <v>0</v>
      </c>
      <c r="H2488" s="4" t="s">
        <v>11</v>
      </c>
      <c r="I2488" s="5">
        <v>0</v>
      </c>
      <c r="J2488" s="4">
        <v>45916.294548611113</v>
      </c>
    </row>
    <row r="2489" spans="1:10" x14ac:dyDescent="0.2">
      <c r="A2489" s="2" t="s">
        <v>10</v>
      </c>
      <c r="B2489" s="3" t="str">
        <f t="shared" si="48"/>
        <v>France - HCP Survey Email - June 2025</v>
      </c>
      <c r="C2489" s="3" t="str">
        <f>HYPERLINK("https://otsuka-europe-crm.veevavault.com/ui/#object/sent_email__v/VBLZ025E82GNP05", "SE-000274172")</f>
        <v>SE-000274172</v>
      </c>
      <c r="D2489" s="4">
        <v>45916.294398148151</v>
      </c>
      <c r="E2489" s="5">
        <v>1</v>
      </c>
      <c r="F2489" s="5">
        <v>2</v>
      </c>
      <c r="G2489" s="5">
        <v>1</v>
      </c>
      <c r="H2489" s="4">
        <v>45916.294398148151</v>
      </c>
      <c r="I2489" s="5">
        <v>2</v>
      </c>
      <c r="J2489" s="4">
        <v>45916.294247685182</v>
      </c>
    </row>
    <row r="2490" spans="1:10" x14ac:dyDescent="0.2">
      <c r="A2490" s="2" t="s">
        <v>10</v>
      </c>
      <c r="B2490" s="3" t="str">
        <f t="shared" si="48"/>
        <v>France - HCP Survey Email - June 2025</v>
      </c>
      <c r="C2490" s="3" t="str">
        <f>HYPERLINK("https://otsuka-europe-crm.veevavault.com/ui/#object/sent_email__v/VBLZ025E82GNP06", "SE-000274173")</f>
        <v>SE-000274173</v>
      </c>
      <c r="D2490" s="4" t="s">
        <v>11</v>
      </c>
      <c r="E2490" s="5">
        <v>0</v>
      </c>
      <c r="F2490" s="5">
        <v>0</v>
      </c>
      <c r="G2490" s="5">
        <v>0</v>
      </c>
      <c r="H2490" s="4" t="s">
        <v>11</v>
      </c>
      <c r="I2490" s="5">
        <v>0</v>
      </c>
      <c r="J2490" s="4">
        <v>45916.294976851852</v>
      </c>
    </row>
    <row r="2491" spans="1:10" x14ac:dyDescent="0.2">
      <c r="A2491" s="2" t="s">
        <v>10</v>
      </c>
      <c r="B2491" s="3" t="str">
        <f t="shared" si="48"/>
        <v>France - HCP Survey Email - June 2025</v>
      </c>
      <c r="C2491" s="3" t="str">
        <f>HYPERLINK("https://otsuka-europe-crm.veevavault.com/ui/#object/sent_email__v/VBLZ025E82GNP07", "SE-000274174")</f>
        <v>SE-000274174</v>
      </c>
      <c r="D2491" s="4" t="s">
        <v>11</v>
      </c>
      <c r="E2491" s="5">
        <v>0</v>
      </c>
      <c r="F2491" s="5">
        <v>0</v>
      </c>
      <c r="G2491" s="5">
        <v>0</v>
      </c>
      <c r="H2491" s="4" t="s">
        <v>11</v>
      </c>
      <c r="I2491" s="5">
        <v>0</v>
      </c>
      <c r="J2491" s="4">
        <v>45916.294641203705</v>
      </c>
    </row>
    <row r="2492" spans="1:10" x14ac:dyDescent="0.2">
      <c r="A2492" s="2" t="s">
        <v>10</v>
      </c>
      <c r="B2492" s="3" t="str">
        <f t="shared" si="48"/>
        <v>France - HCP Survey Email - June 2025</v>
      </c>
      <c r="C2492" s="3" t="str">
        <f>HYPERLINK("https://otsuka-europe-crm.veevavault.com/ui/#object/sent_email__v/VBLZ025E82GNP08", "SE-000274175")</f>
        <v>SE-000274175</v>
      </c>
      <c r="D2492" s="4" t="s">
        <v>11</v>
      </c>
      <c r="E2492" s="5">
        <v>0</v>
      </c>
      <c r="F2492" s="5">
        <v>0</v>
      </c>
      <c r="G2492" s="5">
        <v>0</v>
      </c>
      <c r="H2492" s="4" t="s">
        <v>11</v>
      </c>
      <c r="I2492" s="5">
        <v>0</v>
      </c>
      <c r="J2492" s="4">
        <v>45916.294432870367</v>
      </c>
    </row>
    <row r="2493" spans="1:10" x14ac:dyDescent="0.2">
      <c r="A2493" s="2" t="s">
        <v>10</v>
      </c>
      <c r="B2493" s="3" t="str">
        <f t="shared" si="48"/>
        <v>France - HCP Survey Email - June 2025</v>
      </c>
      <c r="C2493" s="3" t="str">
        <f>HYPERLINK("https://otsuka-europe-crm.veevavault.com/ui/#object/sent_email__v/VBLZ025E82GNP09", "SE-000274176")</f>
        <v>SE-000274176</v>
      </c>
      <c r="D2493" s="4" t="s">
        <v>11</v>
      </c>
      <c r="E2493" s="5">
        <v>0</v>
      </c>
      <c r="F2493" s="5">
        <v>0</v>
      </c>
      <c r="G2493" s="5">
        <v>0</v>
      </c>
      <c r="H2493" s="4" t="s">
        <v>11</v>
      </c>
      <c r="I2493" s="5">
        <v>0</v>
      </c>
      <c r="J2493" s="4">
        <v>45916.294189814813</v>
      </c>
    </row>
    <row r="2494" spans="1:10" x14ac:dyDescent="0.2">
      <c r="A2494" s="2" t="s">
        <v>10</v>
      </c>
      <c r="B2494" s="3" t="str">
        <f t="shared" si="48"/>
        <v>France - HCP Survey Email - June 2025</v>
      </c>
      <c r="C2494" s="3" t="str">
        <f>HYPERLINK("https://otsuka-europe-crm.veevavault.com/ui/#object/sent_email__v/VBLZ025E82GNP0A", "SE-000274177")</f>
        <v>SE-000274177</v>
      </c>
      <c r="D2494" s="4" t="s">
        <v>11</v>
      </c>
      <c r="E2494" s="5">
        <v>0</v>
      </c>
      <c r="F2494" s="5">
        <v>0</v>
      </c>
      <c r="G2494" s="5">
        <v>0</v>
      </c>
      <c r="H2494" s="4" t="s">
        <v>11</v>
      </c>
      <c r="I2494" s="5">
        <v>0</v>
      </c>
      <c r="J2494" s="4">
        <v>45916.294942129629</v>
      </c>
    </row>
    <row r="2495" spans="1:10" x14ac:dyDescent="0.2">
      <c r="A2495" s="2" t="s">
        <v>10</v>
      </c>
      <c r="B2495" s="3" t="str">
        <f t="shared" si="48"/>
        <v>France - HCP Survey Email - June 2025</v>
      </c>
      <c r="C2495" s="3" t="str">
        <f>HYPERLINK("https://otsuka-europe-crm.veevavault.com/ui/#object/sent_email__v/VBLZ025E82GNP0B", "SE-000274178")</f>
        <v>SE-000274178</v>
      </c>
      <c r="D2495" s="4" t="s">
        <v>11</v>
      </c>
      <c r="E2495" s="5">
        <v>0</v>
      </c>
      <c r="F2495" s="5">
        <v>0</v>
      </c>
      <c r="G2495" s="5">
        <v>0</v>
      </c>
      <c r="H2495" s="4" t="s">
        <v>11</v>
      </c>
      <c r="I2495" s="5">
        <v>0</v>
      </c>
      <c r="J2495" s="4">
        <v>45916.294525462959</v>
      </c>
    </row>
    <row r="2496" spans="1:10" x14ac:dyDescent="0.2">
      <c r="A2496" s="2" t="s">
        <v>10</v>
      </c>
      <c r="B2496" s="3" t="str">
        <f t="shared" si="48"/>
        <v>France - HCP Survey Email - June 2025</v>
      </c>
      <c r="C2496" s="3" t="str">
        <f>HYPERLINK("https://otsuka-europe-crm.veevavault.com/ui/#object/sent_email__v/VBLZ025E82GNP0C", "SE-000274179")</f>
        <v>SE-000274179</v>
      </c>
      <c r="D2496" s="4" t="s">
        <v>11</v>
      </c>
      <c r="E2496" s="5">
        <v>0</v>
      </c>
      <c r="F2496" s="5">
        <v>0</v>
      </c>
      <c r="G2496" s="5">
        <v>0</v>
      </c>
      <c r="H2496" s="4" t="s">
        <v>11</v>
      </c>
      <c r="I2496" s="5">
        <v>0</v>
      </c>
      <c r="J2496" s="4">
        <v>45916.294374999998</v>
      </c>
    </row>
    <row r="2497" spans="1:10" x14ac:dyDescent="0.2">
      <c r="A2497" s="2" t="s">
        <v>10</v>
      </c>
      <c r="B2497" s="3" t="str">
        <f t="shared" ref="B2497:B2560" si="49">HYPERLINK("https://otsuka-europe-crm.veevavault.com/ui/#object/approved_document__v/V5OZ025E82TMV97", "France - HCP Survey Email - June 2025")</f>
        <v>France - HCP Survey Email - June 2025</v>
      </c>
      <c r="C2497" s="3" t="str">
        <f>HYPERLINK("https://otsuka-europe-crm.veevavault.com/ui/#object/sent_email__v/VBLZ025E82GNP0D", "SE-000274180")</f>
        <v>SE-000274180</v>
      </c>
      <c r="D2497" s="4" t="s">
        <v>11</v>
      </c>
      <c r="E2497" s="5">
        <v>0</v>
      </c>
      <c r="F2497" s="5">
        <v>0</v>
      </c>
      <c r="G2497" s="5">
        <v>0</v>
      </c>
      <c r="H2497" s="4" t="s">
        <v>11</v>
      </c>
      <c r="I2497" s="5">
        <v>0</v>
      </c>
      <c r="J2497" s="4">
        <v>45916.294988425929</v>
      </c>
    </row>
    <row r="2498" spans="1:10" x14ac:dyDescent="0.2">
      <c r="A2498" s="2" t="s">
        <v>10</v>
      </c>
      <c r="B2498" s="3" t="str">
        <f t="shared" si="49"/>
        <v>France - HCP Survey Email - June 2025</v>
      </c>
      <c r="C2498" s="3" t="str">
        <f>HYPERLINK("https://otsuka-europe-crm.veevavault.com/ui/#object/sent_email__v/VBLZ025E82GNP0E", "SE-000274181")</f>
        <v>SE-000274181</v>
      </c>
      <c r="D2498" s="4" t="s">
        <v>11</v>
      </c>
      <c r="E2498" s="5">
        <v>0</v>
      </c>
      <c r="F2498" s="5">
        <v>0</v>
      </c>
      <c r="G2498" s="5">
        <v>0</v>
      </c>
      <c r="H2498" s="4" t="s">
        <v>11</v>
      </c>
      <c r="I2498" s="5">
        <v>0</v>
      </c>
      <c r="J2498" s="4">
        <v>45916.294259259259</v>
      </c>
    </row>
    <row r="2499" spans="1:10" x14ac:dyDescent="0.2">
      <c r="A2499" s="2" t="s">
        <v>10</v>
      </c>
      <c r="B2499" s="3" t="str">
        <f t="shared" si="49"/>
        <v>France - HCP Survey Email - June 2025</v>
      </c>
      <c r="C2499" s="3" t="str">
        <f>HYPERLINK("https://otsuka-europe-crm.veevavault.com/ui/#object/sent_email__v/VBLZ025E82GNP0F", "SE-000274182")</f>
        <v>SE-000274182</v>
      </c>
      <c r="D2499" s="4" t="s">
        <v>11</v>
      </c>
      <c r="E2499" s="5">
        <v>0</v>
      </c>
      <c r="F2499" s="5">
        <v>0</v>
      </c>
      <c r="G2499" s="5">
        <v>0</v>
      </c>
      <c r="H2499" s="4" t="s">
        <v>11</v>
      </c>
      <c r="I2499" s="5">
        <v>0</v>
      </c>
      <c r="J2499" s="4">
        <v>45916.29488425926</v>
      </c>
    </row>
    <row r="2500" spans="1:10" x14ac:dyDescent="0.2">
      <c r="A2500" s="2" t="s">
        <v>10</v>
      </c>
      <c r="B2500" s="3" t="str">
        <f t="shared" si="49"/>
        <v>France - HCP Survey Email - June 2025</v>
      </c>
      <c r="C2500" s="3" t="str">
        <f>HYPERLINK("https://otsuka-europe-crm.veevavault.com/ui/#object/sent_email__v/VBLZ025E82GNP0G", "SE-000274183")</f>
        <v>SE-000274183</v>
      </c>
      <c r="D2500" s="4" t="s">
        <v>11</v>
      </c>
      <c r="E2500" s="5">
        <v>0</v>
      </c>
      <c r="F2500" s="5">
        <v>0</v>
      </c>
      <c r="G2500" s="5">
        <v>0</v>
      </c>
      <c r="H2500" s="4" t="s">
        <v>11</v>
      </c>
      <c r="I2500" s="5">
        <v>0</v>
      </c>
      <c r="J2500" s="4">
        <v>45916.294618055559</v>
      </c>
    </row>
    <row r="2501" spans="1:10" x14ac:dyDescent="0.2">
      <c r="A2501" s="2" t="s">
        <v>10</v>
      </c>
      <c r="B2501" s="3" t="str">
        <f t="shared" si="49"/>
        <v>France - HCP Survey Email - June 2025</v>
      </c>
      <c r="C2501" s="3" t="str">
        <f>HYPERLINK("https://otsuka-europe-crm.veevavault.com/ui/#object/sent_email__v/VBLZ025E82GNP0H", "SE-000274184")</f>
        <v>SE-000274184</v>
      </c>
      <c r="D2501" s="4" t="s">
        <v>11</v>
      </c>
      <c r="E2501" s="5">
        <v>0</v>
      </c>
      <c r="F2501" s="5">
        <v>0</v>
      </c>
      <c r="G2501" s="5">
        <v>0</v>
      </c>
      <c r="H2501" s="4" t="s">
        <v>11</v>
      </c>
      <c r="I2501" s="5">
        <v>0</v>
      </c>
      <c r="J2501" s="4">
        <v>45916.294328703705</v>
      </c>
    </row>
    <row r="2502" spans="1:10" x14ac:dyDescent="0.2">
      <c r="A2502" s="2" t="s">
        <v>10</v>
      </c>
      <c r="B2502" s="3" t="str">
        <f t="shared" si="49"/>
        <v>France - HCP Survey Email - June 2025</v>
      </c>
      <c r="C2502" s="3" t="str">
        <f>HYPERLINK("https://otsuka-europe-crm.veevavault.com/ui/#object/sent_email__v/VBLZ025E82GNP0I", "SE-000274185")</f>
        <v>SE-000274185</v>
      </c>
      <c r="D2502" s="4" t="s">
        <v>11</v>
      </c>
      <c r="E2502" s="5">
        <v>0</v>
      </c>
      <c r="F2502" s="5">
        <v>0</v>
      </c>
      <c r="G2502" s="5">
        <v>0</v>
      </c>
      <c r="H2502" s="4" t="s">
        <v>11</v>
      </c>
      <c r="I2502" s="5">
        <v>0</v>
      </c>
      <c r="J2502" s="4">
        <v>45916.295034722221</v>
      </c>
    </row>
    <row r="2503" spans="1:10" x14ac:dyDescent="0.2">
      <c r="A2503" s="2" t="s">
        <v>10</v>
      </c>
      <c r="B2503" s="3" t="str">
        <f t="shared" si="49"/>
        <v>France - HCP Survey Email - June 2025</v>
      </c>
      <c r="C2503" s="3" t="str">
        <f>HYPERLINK("https://otsuka-europe-crm.veevavault.com/ui/#object/sent_email__v/VBLZ025E82GNP0J", "SE-000274186")</f>
        <v>SE-000274186</v>
      </c>
      <c r="D2503" s="4">
        <v>45916.30605324074</v>
      </c>
      <c r="E2503" s="5">
        <v>1</v>
      </c>
      <c r="F2503" s="5">
        <v>1</v>
      </c>
      <c r="G2503" s="5">
        <v>0</v>
      </c>
      <c r="H2503" s="4" t="s">
        <v>11</v>
      </c>
      <c r="I2503" s="5">
        <v>0</v>
      </c>
      <c r="J2503" s="4">
        <v>45916.294791666667</v>
      </c>
    </row>
    <row r="2504" spans="1:10" x14ac:dyDescent="0.2">
      <c r="A2504" s="2" t="s">
        <v>10</v>
      </c>
      <c r="B2504" s="3" t="str">
        <f t="shared" si="49"/>
        <v>France - HCP Survey Email - June 2025</v>
      </c>
      <c r="C2504" s="3" t="str">
        <f>HYPERLINK("https://otsuka-europe-crm.veevavault.com/ui/#object/sent_email__v/VBLZ025E82GNP0K", "SE-000274187")</f>
        <v>SE-000274187</v>
      </c>
      <c r="D2504" s="4">
        <v>45916.469872685186</v>
      </c>
      <c r="E2504" s="5">
        <v>1</v>
      </c>
      <c r="F2504" s="5">
        <v>1</v>
      </c>
      <c r="G2504" s="5">
        <v>0</v>
      </c>
      <c r="H2504" s="4" t="s">
        <v>11</v>
      </c>
      <c r="I2504" s="5">
        <v>0</v>
      </c>
      <c r="J2504" s="4">
        <v>45916.294525462959</v>
      </c>
    </row>
    <row r="2505" spans="1:10" x14ac:dyDescent="0.2">
      <c r="A2505" s="2" t="s">
        <v>10</v>
      </c>
      <c r="B2505" s="3" t="str">
        <f t="shared" si="49"/>
        <v>France - HCP Survey Email - June 2025</v>
      </c>
      <c r="C2505" s="3" t="str">
        <f>HYPERLINK("https://otsuka-europe-crm.veevavault.com/ui/#object/sent_email__v/VBLZ025E82GNP0L", "SE-000274188")</f>
        <v>SE-000274188</v>
      </c>
      <c r="D2505" s="4" t="s">
        <v>11</v>
      </c>
      <c r="E2505" s="5">
        <v>0</v>
      </c>
      <c r="F2505" s="5">
        <v>0</v>
      </c>
      <c r="G2505" s="5">
        <v>0</v>
      </c>
      <c r="H2505" s="4" t="s">
        <v>11</v>
      </c>
      <c r="I2505" s="5">
        <v>0</v>
      </c>
      <c r="J2505" s="4">
        <v>45916.294305555559</v>
      </c>
    </row>
    <row r="2506" spans="1:10" x14ac:dyDescent="0.2">
      <c r="A2506" s="2" t="s">
        <v>10</v>
      </c>
      <c r="B2506" s="3" t="str">
        <f t="shared" si="49"/>
        <v>France - HCP Survey Email - June 2025</v>
      </c>
      <c r="C2506" s="3" t="str">
        <f>HYPERLINK("https://otsuka-europe-crm.veevavault.com/ui/#object/sent_email__v/VBLZ025E82GNP0M", "SE-000274189")</f>
        <v>SE-000274189</v>
      </c>
      <c r="D2506" s="4" t="s">
        <v>11</v>
      </c>
      <c r="E2506" s="5">
        <v>0</v>
      </c>
      <c r="F2506" s="5">
        <v>0</v>
      </c>
      <c r="G2506" s="5">
        <v>0</v>
      </c>
      <c r="H2506" s="4" t="s">
        <v>11</v>
      </c>
      <c r="I2506" s="5">
        <v>0</v>
      </c>
      <c r="J2506" s="4">
        <v>45916.29488425926</v>
      </c>
    </row>
    <row r="2507" spans="1:10" x14ac:dyDescent="0.2">
      <c r="A2507" s="2" t="s">
        <v>10</v>
      </c>
      <c r="B2507" s="3" t="str">
        <f t="shared" si="49"/>
        <v>France - HCP Survey Email - June 2025</v>
      </c>
      <c r="C2507" s="3" t="str">
        <f>HYPERLINK("https://otsuka-europe-crm.veevavault.com/ui/#object/sent_email__v/VBLZ025E82GNP0N", "SE-000274190")</f>
        <v>SE-000274190</v>
      </c>
      <c r="D2507" s="4">
        <v>45916.653356481482</v>
      </c>
      <c r="E2507" s="5">
        <v>1</v>
      </c>
      <c r="F2507" s="5">
        <v>1</v>
      </c>
      <c r="G2507" s="5">
        <v>1</v>
      </c>
      <c r="H2507" s="4">
        <v>45916.653356481482</v>
      </c>
      <c r="I2507" s="5">
        <v>1</v>
      </c>
      <c r="J2507" s="4">
        <v>45916.294594907406</v>
      </c>
    </row>
    <row r="2508" spans="1:10" x14ac:dyDescent="0.2">
      <c r="A2508" s="2" t="s">
        <v>10</v>
      </c>
      <c r="B2508" s="3" t="str">
        <f t="shared" si="49"/>
        <v>France - HCP Survey Email - June 2025</v>
      </c>
      <c r="C2508" s="3" t="str">
        <f>HYPERLINK("https://otsuka-europe-crm.veevavault.com/ui/#object/sent_email__v/VBLZ025E82GNP0O", "SE-000274191")</f>
        <v>SE-000274191</v>
      </c>
      <c r="D2508" s="4" t="s">
        <v>11</v>
      </c>
      <c r="E2508" s="5">
        <v>0</v>
      </c>
      <c r="F2508" s="5">
        <v>0</v>
      </c>
      <c r="G2508" s="5">
        <v>0</v>
      </c>
      <c r="H2508" s="4" t="s">
        <v>11</v>
      </c>
      <c r="I2508" s="5">
        <v>0</v>
      </c>
      <c r="J2508" s="4">
        <v>45916.294351851851</v>
      </c>
    </row>
    <row r="2509" spans="1:10" x14ac:dyDescent="0.2">
      <c r="A2509" s="2" t="s">
        <v>10</v>
      </c>
      <c r="B2509" s="3" t="str">
        <f t="shared" si="49"/>
        <v>France - HCP Survey Email - June 2025</v>
      </c>
      <c r="C2509" s="3" t="str">
        <f>HYPERLINK("https://otsuka-europe-crm.veevavault.com/ui/#object/sent_email__v/VBLZ025E82GNP0P", "SE-000274192")</f>
        <v>SE-000274192</v>
      </c>
      <c r="D2509" s="4" t="s">
        <v>11</v>
      </c>
      <c r="E2509" s="5">
        <v>0</v>
      </c>
      <c r="F2509" s="5">
        <v>0</v>
      </c>
      <c r="G2509" s="5">
        <v>0</v>
      </c>
      <c r="H2509" s="4" t="s">
        <v>11</v>
      </c>
      <c r="I2509" s="5">
        <v>0</v>
      </c>
      <c r="J2509" s="4">
        <v>45916.294189814813</v>
      </c>
    </row>
    <row r="2510" spans="1:10" x14ac:dyDescent="0.2">
      <c r="A2510" s="2" t="s">
        <v>10</v>
      </c>
      <c r="B2510" s="3" t="str">
        <f t="shared" si="49"/>
        <v>France - HCP Survey Email - June 2025</v>
      </c>
      <c r="C2510" s="3" t="str">
        <f>HYPERLINK("https://otsuka-europe-crm.veevavault.com/ui/#object/sent_email__v/VBLZ025E82GNP0Q", "SE-000274193")</f>
        <v>SE-000274193</v>
      </c>
      <c r="D2510" s="4" t="s">
        <v>11</v>
      </c>
      <c r="E2510" s="5">
        <v>0</v>
      </c>
      <c r="F2510" s="5">
        <v>0</v>
      </c>
      <c r="G2510" s="5">
        <v>0</v>
      </c>
      <c r="H2510" s="4" t="s">
        <v>11</v>
      </c>
      <c r="I2510" s="5">
        <v>0</v>
      </c>
      <c r="J2510" s="4">
        <v>45916.294861111113</v>
      </c>
    </row>
    <row r="2511" spans="1:10" x14ac:dyDescent="0.2">
      <c r="A2511" s="2" t="s">
        <v>10</v>
      </c>
      <c r="B2511" s="3" t="str">
        <f t="shared" si="49"/>
        <v>France - HCP Survey Email - June 2025</v>
      </c>
      <c r="C2511" s="3" t="str">
        <f>HYPERLINK("https://otsuka-europe-crm.veevavault.com/ui/#object/sent_email__v/VBLZ025E82GNP0R", "SE-000274194")</f>
        <v>SE-000274194</v>
      </c>
      <c r="D2511" s="4" t="s">
        <v>11</v>
      </c>
      <c r="E2511" s="5">
        <v>0</v>
      </c>
      <c r="F2511" s="5">
        <v>0</v>
      </c>
      <c r="G2511" s="5">
        <v>0</v>
      </c>
      <c r="H2511" s="4" t="s">
        <v>11</v>
      </c>
      <c r="I2511" s="5">
        <v>0</v>
      </c>
      <c r="J2511" s="4">
        <v>45916.294629629629</v>
      </c>
    </row>
    <row r="2512" spans="1:10" x14ac:dyDescent="0.2">
      <c r="A2512" s="2" t="s">
        <v>10</v>
      </c>
      <c r="B2512" s="3" t="str">
        <f t="shared" si="49"/>
        <v>France - HCP Survey Email - June 2025</v>
      </c>
      <c r="C2512" s="3" t="str">
        <f>HYPERLINK("https://otsuka-europe-crm.veevavault.com/ui/#object/sent_email__v/VBLZ025E82GNP0S", "SE-000274195")</f>
        <v>SE-000274195</v>
      </c>
      <c r="D2512" s="4" t="s">
        <v>11</v>
      </c>
      <c r="E2512" s="5">
        <v>0</v>
      </c>
      <c r="F2512" s="5">
        <v>0</v>
      </c>
      <c r="G2512" s="5">
        <v>0</v>
      </c>
      <c r="H2512" s="4" t="s">
        <v>11</v>
      </c>
      <c r="I2512" s="5">
        <v>0</v>
      </c>
      <c r="J2512" s="4">
        <v>45916.294340277775</v>
      </c>
    </row>
    <row r="2513" spans="1:10" x14ac:dyDescent="0.2">
      <c r="A2513" s="2" t="s">
        <v>10</v>
      </c>
      <c r="B2513" s="3" t="str">
        <f t="shared" si="49"/>
        <v>France - HCP Survey Email - June 2025</v>
      </c>
      <c r="C2513" s="3" t="str">
        <f>HYPERLINK("https://otsuka-europe-crm.veevavault.com/ui/#object/sent_email__v/VBLZ025E82GNP0T", "SE-000274196")</f>
        <v>SE-000274196</v>
      </c>
      <c r="D2513" s="4" t="s">
        <v>11</v>
      </c>
      <c r="E2513" s="5">
        <v>0</v>
      </c>
      <c r="F2513" s="5">
        <v>0</v>
      </c>
      <c r="G2513" s="5">
        <v>0</v>
      </c>
      <c r="H2513" s="4" t="s">
        <v>11</v>
      </c>
      <c r="I2513" s="5">
        <v>0</v>
      </c>
      <c r="J2513" s="4">
        <v>45916.294965277775</v>
      </c>
    </row>
    <row r="2514" spans="1:10" x14ac:dyDescent="0.2">
      <c r="A2514" s="2" t="s">
        <v>10</v>
      </c>
      <c r="B2514" s="3" t="str">
        <f t="shared" si="49"/>
        <v>France - HCP Survey Email - June 2025</v>
      </c>
      <c r="C2514" s="3" t="str">
        <f>HYPERLINK("https://otsuka-europe-crm.veevavault.com/ui/#object/sent_email__v/VBLZ025E82GNP0U", "SE-000274197")</f>
        <v>SE-000274197</v>
      </c>
      <c r="D2514" s="4" t="s">
        <v>11</v>
      </c>
      <c r="E2514" s="5">
        <v>0</v>
      </c>
      <c r="F2514" s="5">
        <v>0</v>
      </c>
      <c r="G2514" s="5">
        <v>0</v>
      </c>
      <c r="H2514" s="4" t="s">
        <v>11</v>
      </c>
      <c r="I2514" s="5">
        <v>0</v>
      </c>
      <c r="J2514" s="4">
        <v>45916.294756944444</v>
      </c>
    </row>
    <row r="2515" spans="1:10" x14ac:dyDescent="0.2">
      <c r="A2515" s="2" t="s">
        <v>10</v>
      </c>
      <c r="B2515" s="3" t="str">
        <f t="shared" si="49"/>
        <v>France - HCP Survey Email - June 2025</v>
      </c>
      <c r="C2515" s="3" t="str">
        <f>HYPERLINK("https://otsuka-europe-crm.veevavault.com/ui/#object/sent_email__v/VBLZ025E82GNP0V", "SE-000274198")</f>
        <v>SE-000274198</v>
      </c>
      <c r="D2515" s="4" t="s">
        <v>11</v>
      </c>
      <c r="E2515" s="5">
        <v>0</v>
      </c>
      <c r="F2515" s="5">
        <v>0</v>
      </c>
      <c r="G2515" s="5">
        <v>0</v>
      </c>
      <c r="H2515" s="4" t="s">
        <v>11</v>
      </c>
      <c r="I2515" s="5">
        <v>0</v>
      </c>
      <c r="J2515" s="4">
        <v>45916.294502314813</v>
      </c>
    </row>
    <row r="2516" spans="1:10" x14ac:dyDescent="0.2">
      <c r="A2516" s="2" t="s">
        <v>10</v>
      </c>
      <c r="B2516" s="3" t="str">
        <f t="shared" si="49"/>
        <v>France - HCP Survey Email - June 2025</v>
      </c>
      <c r="C2516" s="3" t="str">
        <f>HYPERLINK("https://otsuka-europe-crm.veevavault.com/ui/#object/sent_email__v/VBLZ025E82GNP0W", "SE-000274199")</f>
        <v>SE-000274199</v>
      </c>
      <c r="D2516" s="4" t="s">
        <v>11</v>
      </c>
      <c r="E2516" s="5">
        <v>0</v>
      </c>
      <c r="F2516" s="5">
        <v>0</v>
      </c>
      <c r="G2516" s="5">
        <v>0</v>
      </c>
      <c r="H2516" s="4" t="s">
        <v>11</v>
      </c>
      <c r="I2516" s="5">
        <v>0</v>
      </c>
      <c r="J2516" s="4">
        <v>45916.294259259259</v>
      </c>
    </row>
    <row r="2517" spans="1:10" x14ac:dyDescent="0.2">
      <c r="A2517" s="2" t="s">
        <v>10</v>
      </c>
      <c r="B2517" s="3" t="str">
        <f t="shared" si="49"/>
        <v>France - HCP Survey Email - June 2025</v>
      </c>
      <c r="C2517" s="3" t="str">
        <f>HYPERLINK("https://otsuka-europe-crm.veevavault.com/ui/#object/sent_email__v/VBLZ025E82GNP0X", "SE-000274200")</f>
        <v>SE-000274200</v>
      </c>
      <c r="D2517" s="4">
        <v>45918.926249999997</v>
      </c>
      <c r="E2517" s="5">
        <v>1</v>
      </c>
      <c r="F2517" s="5">
        <v>2</v>
      </c>
      <c r="G2517" s="5">
        <v>1</v>
      </c>
      <c r="H2517" s="4">
        <v>45917.47928240741</v>
      </c>
      <c r="I2517" s="5">
        <v>1</v>
      </c>
      <c r="J2517" s="4">
        <v>45916.294861111113</v>
      </c>
    </row>
    <row r="2518" spans="1:10" x14ac:dyDescent="0.2">
      <c r="A2518" s="2" t="s">
        <v>10</v>
      </c>
      <c r="B2518" s="3" t="str">
        <f t="shared" si="49"/>
        <v>France - HCP Survey Email - June 2025</v>
      </c>
      <c r="C2518" s="3" t="str">
        <f>HYPERLINK("https://otsuka-europe-crm.veevavault.com/ui/#object/sent_email__v/VBLZ025E82GNP0Z", "SE-000274202")</f>
        <v>SE-000274202</v>
      </c>
      <c r="D2518" s="4" t="s">
        <v>11</v>
      </c>
      <c r="E2518" s="5">
        <v>0</v>
      </c>
      <c r="F2518" s="5">
        <v>0</v>
      </c>
      <c r="G2518" s="5">
        <v>0</v>
      </c>
      <c r="H2518" s="4" t="s">
        <v>11</v>
      </c>
      <c r="I2518" s="5">
        <v>0</v>
      </c>
      <c r="J2518" s="4">
        <v>45916.294374999998</v>
      </c>
    </row>
    <row r="2519" spans="1:10" x14ac:dyDescent="0.2">
      <c r="A2519" s="2" t="s">
        <v>10</v>
      </c>
      <c r="B2519" s="3" t="str">
        <f t="shared" si="49"/>
        <v>France - HCP Survey Email - June 2025</v>
      </c>
      <c r="C2519" s="3" t="str">
        <f>HYPERLINK("https://otsuka-europe-crm.veevavault.com/ui/#object/sent_email__v/VBLZ025E82GNP10", "SE-000274203")</f>
        <v>SE-000274203</v>
      </c>
      <c r="D2519" s="4" t="s">
        <v>11</v>
      </c>
      <c r="E2519" s="5">
        <v>0</v>
      </c>
      <c r="F2519" s="5">
        <v>0</v>
      </c>
      <c r="G2519" s="5">
        <v>0</v>
      </c>
      <c r="H2519" s="4" t="s">
        <v>11</v>
      </c>
      <c r="I2519" s="5">
        <v>0</v>
      </c>
      <c r="J2519" s="4">
        <v>45916.294270833336</v>
      </c>
    </row>
    <row r="2520" spans="1:10" x14ac:dyDescent="0.2">
      <c r="A2520" s="2" t="s">
        <v>10</v>
      </c>
      <c r="B2520" s="3" t="str">
        <f t="shared" si="49"/>
        <v>France - HCP Survey Email - June 2025</v>
      </c>
      <c r="C2520" s="3" t="str">
        <f>HYPERLINK("https://otsuka-europe-crm.veevavault.com/ui/#object/sent_email__v/VBLZ025E82GNP11", "SE-000274204")</f>
        <v>SE-000274204</v>
      </c>
      <c r="D2520" s="4" t="s">
        <v>11</v>
      </c>
      <c r="E2520" s="5">
        <v>0</v>
      </c>
      <c r="F2520" s="5">
        <v>0</v>
      </c>
      <c r="G2520" s="5">
        <v>0</v>
      </c>
      <c r="H2520" s="4" t="s">
        <v>11</v>
      </c>
      <c r="I2520" s="5">
        <v>0</v>
      </c>
      <c r="J2520" s="4">
        <v>45916.294803240744</v>
      </c>
    </row>
    <row r="2521" spans="1:10" x14ac:dyDescent="0.2">
      <c r="A2521" s="2" t="s">
        <v>10</v>
      </c>
      <c r="B2521" s="3" t="str">
        <f t="shared" si="49"/>
        <v>France - HCP Survey Email - June 2025</v>
      </c>
      <c r="C2521" s="3" t="str">
        <f>HYPERLINK("https://otsuka-europe-crm.veevavault.com/ui/#object/sent_email__v/VBLZ025E82GNP12", "SE-000274205")</f>
        <v>SE-000274205</v>
      </c>
      <c r="D2521" s="4">
        <v>45916.294895833336</v>
      </c>
      <c r="E2521" s="5">
        <v>1</v>
      </c>
      <c r="F2521" s="5">
        <v>2</v>
      </c>
      <c r="G2521" s="5">
        <v>1</v>
      </c>
      <c r="H2521" s="4">
        <v>45916.294895833336</v>
      </c>
      <c r="I2521" s="5">
        <v>2</v>
      </c>
      <c r="J2521" s="4">
        <v>45916.294641203705</v>
      </c>
    </row>
    <row r="2522" spans="1:10" x14ac:dyDescent="0.2">
      <c r="A2522" s="2" t="s">
        <v>10</v>
      </c>
      <c r="B2522" s="3" t="str">
        <f t="shared" si="49"/>
        <v>France - HCP Survey Email - June 2025</v>
      </c>
      <c r="C2522" s="3" t="str">
        <f>HYPERLINK("https://otsuka-europe-crm.veevavault.com/ui/#object/sent_email__v/VBLZ025E82GNP13", "SE-000274206")</f>
        <v>SE-000274206</v>
      </c>
      <c r="D2522" s="4" t="s">
        <v>11</v>
      </c>
      <c r="E2522" s="5">
        <v>0</v>
      </c>
      <c r="F2522" s="5">
        <v>0</v>
      </c>
      <c r="G2522" s="5">
        <v>0</v>
      </c>
      <c r="H2522" s="4" t="s">
        <v>11</v>
      </c>
      <c r="I2522" s="5">
        <v>0</v>
      </c>
      <c r="J2522" s="4">
        <v>45916.294328703705</v>
      </c>
    </row>
    <row r="2523" spans="1:10" x14ac:dyDescent="0.2">
      <c r="A2523" s="2" t="s">
        <v>10</v>
      </c>
      <c r="B2523" s="3" t="str">
        <f t="shared" si="49"/>
        <v>France - HCP Survey Email - June 2025</v>
      </c>
      <c r="C2523" s="3" t="str">
        <f>HYPERLINK("https://otsuka-europe-crm.veevavault.com/ui/#object/sent_email__v/VBLZ025E82GNP14", "SE-000274207")</f>
        <v>SE-000274207</v>
      </c>
      <c r="D2523" s="4" t="s">
        <v>11</v>
      </c>
      <c r="E2523" s="5">
        <v>0</v>
      </c>
      <c r="F2523" s="5">
        <v>0</v>
      </c>
      <c r="G2523" s="5">
        <v>0</v>
      </c>
      <c r="H2523" s="4" t="s">
        <v>11</v>
      </c>
      <c r="I2523" s="5">
        <v>0</v>
      </c>
      <c r="J2523" s="4">
        <v>45916.294942129629</v>
      </c>
    </row>
    <row r="2524" spans="1:10" x14ac:dyDescent="0.2">
      <c r="A2524" s="2" t="s">
        <v>10</v>
      </c>
      <c r="B2524" s="3" t="str">
        <f t="shared" si="49"/>
        <v>France - HCP Survey Email - June 2025</v>
      </c>
      <c r="C2524" s="3" t="str">
        <f>HYPERLINK("https://otsuka-europe-crm.veevavault.com/ui/#object/sent_email__v/VBLZ025E82GNP15", "SE-000274208")</f>
        <v>SE-000274208</v>
      </c>
      <c r="D2524" s="4" t="s">
        <v>11</v>
      </c>
      <c r="E2524" s="5">
        <v>0</v>
      </c>
      <c r="F2524" s="5">
        <v>0</v>
      </c>
      <c r="G2524" s="5">
        <v>0</v>
      </c>
      <c r="H2524" s="4" t="s">
        <v>11</v>
      </c>
      <c r="I2524" s="5">
        <v>0</v>
      </c>
      <c r="J2524" s="4">
        <v>45916.29478009259</v>
      </c>
    </row>
    <row r="2525" spans="1:10" x14ac:dyDescent="0.2">
      <c r="A2525" s="2" t="s">
        <v>10</v>
      </c>
      <c r="B2525" s="3" t="str">
        <f t="shared" si="49"/>
        <v>France - HCP Survey Email - June 2025</v>
      </c>
      <c r="C2525" s="3" t="str">
        <f>HYPERLINK("https://otsuka-europe-crm.veevavault.com/ui/#object/sent_email__v/VBLZ025E82GNP16", "SE-000274209")</f>
        <v>SE-000274209</v>
      </c>
      <c r="D2525" s="4" t="s">
        <v>11</v>
      </c>
      <c r="E2525" s="5">
        <v>0</v>
      </c>
      <c r="F2525" s="5">
        <v>0</v>
      </c>
      <c r="G2525" s="5">
        <v>0</v>
      </c>
      <c r="H2525" s="4" t="s">
        <v>11</v>
      </c>
      <c r="I2525" s="5">
        <v>0</v>
      </c>
      <c r="J2525" s="4">
        <v>45916.29451388889</v>
      </c>
    </row>
    <row r="2526" spans="1:10" x14ac:dyDescent="0.2">
      <c r="A2526" s="2" t="s">
        <v>10</v>
      </c>
      <c r="B2526" s="3" t="str">
        <f t="shared" si="49"/>
        <v>France - HCP Survey Email - June 2025</v>
      </c>
      <c r="C2526" s="3" t="str">
        <f>HYPERLINK("https://otsuka-europe-crm.veevavault.com/ui/#object/sent_email__v/VBLZ025E82GNP17", "SE-000274210")</f>
        <v>SE-000274210</v>
      </c>
      <c r="D2526" s="4" t="s">
        <v>11</v>
      </c>
      <c r="E2526" s="5">
        <v>0</v>
      </c>
      <c r="F2526" s="5">
        <v>0</v>
      </c>
      <c r="G2526" s="5">
        <v>0</v>
      </c>
      <c r="H2526" s="4" t="s">
        <v>11</v>
      </c>
      <c r="I2526" s="5">
        <v>0</v>
      </c>
      <c r="J2526" s="4">
        <v>45916.294317129628</v>
      </c>
    </row>
    <row r="2527" spans="1:10" x14ac:dyDescent="0.2">
      <c r="A2527" s="2" t="s">
        <v>10</v>
      </c>
      <c r="B2527" s="3" t="str">
        <f t="shared" si="49"/>
        <v>France - HCP Survey Email - June 2025</v>
      </c>
      <c r="C2527" s="3" t="str">
        <f>HYPERLINK("https://otsuka-europe-crm.veevavault.com/ui/#object/sent_email__v/VBLZ025E82GNP18", "SE-000274211")</f>
        <v>SE-000274211</v>
      </c>
      <c r="D2527" s="4">
        <v>45916.876111111109</v>
      </c>
      <c r="E2527" s="5">
        <v>1</v>
      </c>
      <c r="F2527" s="5">
        <v>1</v>
      </c>
      <c r="G2527" s="5">
        <v>0</v>
      </c>
      <c r="H2527" s="4" t="s">
        <v>11</v>
      </c>
      <c r="I2527" s="5">
        <v>0</v>
      </c>
      <c r="J2527" s="4">
        <v>45916.29488425926</v>
      </c>
    </row>
    <row r="2528" spans="1:10" x14ac:dyDescent="0.2">
      <c r="A2528" s="2" t="s">
        <v>10</v>
      </c>
      <c r="B2528" s="3" t="str">
        <f t="shared" si="49"/>
        <v>France - HCP Survey Email - June 2025</v>
      </c>
      <c r="C2528" s="3" t="str">
        <f>HYPERLINK("https://otsuka-europe-crm.veevavault.com/ui/#object/sent_email__v/VBLZ025E82GNP19", "SE-000274212")</f>
        <v>SE-000274212</v>
      </c>
      <c r="D2528" s="4">
        <v>45916.574537037035</v>
      </c>
      <c r="E2528" s="5">
        <v>1</v>
      </c>
      <c r="F2528" s="5">
        <v>1</v>
      </c>
      <c r="G2528" s="5">
        <v>0</v>
      </c>
      <c r="H2528" s="4" t="s">
        <v>11</v>
      </c>
      <c r="I2528" s="5">
        <v>0</v>
      </c>
      <c r="J2528" s="4">
        <v>45916.294664351852</v>
      </c>
    </row>
    <row r="2529" spans="1:10" x14ac:dyDescent="0.2">
      <c r="A2529" s="2" t="s">
        <v>10</v>
      </c>
      <c r="B2529" s="3" t="str">
        <f t="shared" si="49"/>
        <v>France - HCP Survey Email - June 2025</v>
      </c>
      <c r="C2529" s="3" t="str">
        <f>HYPERLINK("https://otsuka-europe-crm.veevavault.com/ui/#object/sent_email__v/VBLZ025E82GNP1A", "SE-000274213")</f>
        <v>SE-000274213</v>
      </c>
      <c r="D2529" s="4" t="s">
        <v>11</v>
      </c>
      <c r="E2529" s="5">
        <v>0</v>
      </c>
      <c r="F2529" s="5">
        <v>0</v>
      </c>
      <c r="G2529" s="5">
        <v>0</v>
      </c>
      <c r="H2529" s="4" t="s">
        <v>11</v>
      </c>
      <c r="I2529" s="5">
        <v>0</v>
      </c>
      <c r="J2529" s="4">
        <v>45916.294444444444</v>
      </c>
    </row>
    <row r="2530" spans="1:10" x14ac:dyDescent="0.2">
      <c r="A2530" s="2" t="s">
        <v>10</v>
      </c>
      <c r="B2530" s="3" t="str">
        <f t="shared" si="49"/>
        <v>France - HCP Survey Email - June 2025</v>
      </c>
      <c r="C2530" s="3" t="str">
        <f>HYPERLINK("https://otsuka-europe-crm.veevavault.com/ui/#object/sent_email__v/VBLZ025E82GNP1B", "SE-000274214")</f>
        <v>SE-000274214</v>
      </c>
      <c r="D2530" s="4" t="s">
        <v>11</v>
      </c>
      <c r="E2530" s="5">
        <v>0</v>
      </c>
      <c r="F2530" s="5">
        <v>0</v>
      </c>
      <c r="G2530" s="5">
        <v>0</v>
      </c>
      <c r="H2530" s="4" t="s">
        <v>11</v>
      </c>
      <c r="I2530" s="5">
        <v>0</v>
      </c>
      <c r="J2530" s="4">
        <v>45916.294270833336</v>
      </c>
    </row>
    <row r="2531" spans="1:10" x14ac:dyDescent="0.2">
      <c r="A2531" s="2" t="s">
        <v>10</v>
      </c>
      <c r="B2531" s="3" t="str">
        <f t="shared" si="49"/>
        <v>France - HCP Survey Email - June 2025</v>
      </c>
      <c r="C2531" s="3" t="str">
        <f>HYPERLINK("https://otsuka-europe-crm.veevavault.com/ui/#object/sent_email__v/VBLZ025E82GNP1C", "SE-000274215")</f>
        <v>SE-000274215</v>
      </c>
      <c r="D2531" s="4">
        <v>45916.298587962963</v>
      </c>
      <c r="E2531" s="5">
        <v>1</v>
      </c>
      <c r="F2531" s="5">
        <v>1</v>
      </c>
      <c r="G2531" s="5">
        <v>0</v>
      </c>
      <c r="H2531" s="4" t="s">
        <v>11</v>
      </c>
      <c r="I2531" s="5">
        <v>0</v>
      </c>
      <c r="J2531" s="4">
        <v>45916.29482638889</v>
      </c>
    </row>
    <row r="2532" spans="1:10" x14ac:dyDescent="0.2">
      <c r="A2532" s="2" t="s">
        <v>10</v>
      </c>
      <c r="B2532" s="3" t="str">
        <f t="shared" si="49"/>
        <v>France - HCP Survey Email - June 2025</v>
      </c>
      <c r="C2532" s="3" t="str">
        <f>HYPERLINK("https://otsuka-europe-crm.veevavault.com/ui/#object/sent_email__v/VBLZ025E82GNP1D", "SE-000274216")</f>
        <v>SE-000274216</v>
      </c>
      <c r="D2532" s="4" t="s">
        <v>11</v>
      </c>
      <c r="E2532" s="5">
        <v>0</v>
      </c>
      <c r="F2532" s="5">
        <v>0</v>
      </c>
      <c r="G2532" s="5">
        <v>0</v>
      </c>
      <c r="H2532" s="4" t="s">
        <v>11</v>
      </c>
      <c r="I2532" s="5">
        <v>0</v>
      </c>
      <c r="J2532" s="4">
        <v>45916.294629629629</v>
      </c>
    </row>
    <row r="2533" spans="1:10" x14ac:dyDescent="0.2">
      <c r="A2533" s="2" t="s">
        <v>10</v>
      </c>
      <c r="B2533" s="3" t="str">
        <f t="shared" si="49"/>
        <v>France - HCP Survey Email - June 2025</v>
      </c>
      <c r="C2533" s="3" t="str">
        <f>HYPERLINK("https://otsuka-europe-crm.veevavault.com/ui/#object/sent_email__v/VBLZ025E82GNP1E", "SE-000274217")</f>
        <v>SE-000274217</v>
      </c>
      <c r="D2533" s="4" t="s">
        <v>11</v>
      </c>
      <c r="E2533" s="5">
        <v>0</v>
      </c>
      <c r="F2533" s="5">
        <v>0</v>
      </c>
      <c r="G2533" s="5">
        <v>0</v>
      </c>
      <c r="H2533" s="4" t="s">
        <v>11</v>
      </c>
      <c r="I2533" s="5">
        <v>0</v>
      </c>
      <c r="J2533" s="4">
        <v>45916.294398148151</v>
      </c>
    </row>
    <row r="2534" spans="1:10" x14ac:dyDescent="0.2">
      <c r="A2534" s="2" t="s">
        <v>10</v>
      </c>
      <c r="B2534" s="3" t="str">
        <f t="shared" si="49"/>
        <v>France - HCP Survey Email - June 2025</v>
      </c>
      <c r="C2534" s="3" t="str">
        <f>HYPERLINK("https://otsuka-europe-crm.veevavault.com/ui/#object/sent_email__v/VBLZ025E82GNP1F", "SE-000274218")</f>
        <v>SE-000274218</v>
      </c>
      <c r="D2534" s="4" t="s">
        <v>11</v>
      </c>
      <c r="E2534" s="5">
        <v>0</v>
      </c>
      <c r="F2534" s="5">
        <v>0</v>
      </c>
      <c r="G2534" s="5">
        <v>0</v>
      </c>
      <c r="H2534" s="4" t="s">
        <v>11</v>
      </c>
      <c r="I2534" s="5">
        <v>0</v>
      </c>
      <c r="J2534" s="4">
        <v>45916.294247685182</v>
      </c>
    </row>
    <row r="2535" spans="1:10" x14ac:dyDescent="0.2">
      <c r="A2535" s="2" t="s">
        <v>10</v>
      </c>
      <c r="B2535" s="3" t="str">
        <f t="shared" si="49"/>
        <v>France - HCP Survey Email - June 2025</v>
      </c>
      <c r="C2535" s="3" t="str">
        <f>HYPERLINK("https://otsuka-europe-crm.veevavault.com/ui/#object/sent_email__v/VBLZ025E82GNP1G", "SE-000274219")</f>
        <v>SE-000274219</v>
      </c>
      <c r="D2535" s="4" t="s">
        <v>11</v>
      </c>
      <c r="E2535" s="5">
        <v>0</v>
      </c>
      <c r="F2535" s="5">
        <v>0</v>
      </c>
      <c r="G2535" s="5">
        <v>0</v>
      </c>
      <c r="H2535" s="4" t="s">
        <v>11</v>
      </c>
      <c r="I2535" s="5">
        <v>0</v>
      </c>
      <c r="J2535" s="4">
        <v>45916.294861111113</v>
      </c>
    </row>
    <row r="2536" spans="1:10" x14ac:dyDescent="0.2">
      <c r="A2536" s="2" t="s">
        <v>10</v>
      </c>
      <c r="B2536" s="3" t="str">
        <f t="shared" si="49"/>
        <v>France - HCP Survey Email - June 2025</v>
      </c>
      <c r="C2536" s="3" t="str">
        <f>HYPERLINK("https://otsuka-europe-crm.veevavault.com/ui/#object/sent_email__v/VBLZ025E82GNP1H", "SE-000274220")</f>
        <v>SE-000274220</v>
      </c>
      <c r="D2536" s="4" t="s">
        <v>11</v>
      </c>
      <c r="E2536" s="5">
        <v>0</v>
      </c>
      <c r="F2536" s="5">
        <v>0</v>
      </c>
      <c r="G2536" s="5">
        <v>0</v>
      </c>
      <c r="H2536" s="4" t="s">
        <v>11</v>
      </c>
      <c r="I2536" s="5">
        <v>0</v>
      </c>
      <c r="J2536" s="4">
        <v>45916.294571759259</v>
      </c>
    </row>
    <row r="2537" spans="1:10" x14ac:dyDescent="0.2">
      <c r="A2537" s="2" t="s">
        <v>10</v>
      </c>
      <c r="B2537" s="3" t="str">
        <f t="shared" si="49"/>
        <v>France - HCP Survey Email - June 2025</v>
      </c>
      <c r="C2537" s="3" t="str">
        <f>HYPERLINK("https://otsuka-europe-crm.veevavault.com/ui/#object/sent_email__v/VBLZ025E82GNP1I", "SE-000274221")</f>
        <v>SE-000274221</v>
      </c>
      <c r="D2537" s="4" t="s">
        <v>11</v>
      </c>
      <c r="E2537" s="5">
        <v>0</v>
      </c>
      <c r="F2537" s="5">
        <v>0</v>
      </c>
      <c r="G2537" s="5">
        <v>0</v>
      </c>
      <c r="H2537" s="4" t="s">
        <v>11</v>
      </c>
      <c r="I2537" s="5">
        <v>0</v>
      </c>
      <c r="J2537" s="4">
        <v>45916.294328703705</v>
      </c>
    </row>
    <row r="2538" spans="1:10" x14ac:dyDescent="0.2">
      <c r="A2538" s="2" t="s">
        <v>10</v>
      </c>
      <c r="B2538" s="3" t="str">
        <f t="shared" si="49"/>
        <v>France - HCP Survey Email - June 2025</v>
      </c>
      <c r="C2538" s="3" t="str">
        <f>HYPERLINK("https://otsuka-europe-crm.veevavault.com/ui/#object/sent_email__v/VBLZ025E82GNP1J", "SE-000274222")</f>
        <v>SE-000274222</v>
      </c>
      <c r="D2538" s="4">
        <v>45916.449594907404</v>
      </c>
      <c r="E2538" s="5">
        <v>1</v>
      </c>
      <c r="F2538" s="5">
        <v>1</v>
      </c>
      <c r="G2538" s="5">
        <v>0</v>
      </c>
      <c r="H2538" s="4" t="s">
        <v>11</v>
      </c>
      <c r="I2538" s="5">
        <v>0</v>
      </c>
      <c r="J2538" s="4">
        <v>45916.294942129629</v>
      </c>
    </row>
    <row r="2539" spans="1:10" x14ac:dyDescent="0.2">
      <c r="A2539" s="2" t="s">
        <v>10</v>
      </c>
      <c r="B2539" s="3" t="str">
        <f t="shared" si="49"/>
        <v>France - HCP Survey Email - June 2025</v>
      </c>
      <c r="C2539" s="3" t="str">
        <f>HYPERLINK("https://otsuka-europe-crm.veevavault.com/ui/#object/sent_email__v/VBLZ025E82GNP1K", "SE-000274223")</f>
        <v>SE-000274223</v>
      </c>
      <c r="D2539" s="4" t="s">
        <v>11</v>
      </c>
      <c r="E2539" s="5">
        <v>0</v>
      </c>
      <c r="F2539" s="5">
        <v>0</v>
      </c>
      <c r="G2539" s="5">
        <v>0</v>
      </c>
      <c r="H2539" s="4" t="s">
        <v>11</v>
      </c>
      <c r="I2539" s="5">
        <v>0</v>
      </c>
      <c r="J2539" s="4">
        <v>45916.294687499998</v>
      </c>
    </row>
    <row r="2540" spans="1:10" x14ac:dyDescent="0.2">
      <c r="A2540" s="2" t="s">
        <v>10</v>
      </c>
      <c r="B2540" s="3" t="str">
        <f t="shared" si="49"/>
        <v>France - HCP Survey Email - June 2025</v>
      </c>
      <c r="C2540" s="3" t="str">
        <f>HYPERLINK("https://otsuka-europe-crm.veevavault.com/ui/#object/sent_email__v/VBLZ025E82GNP4D", "SE-000274224")</f>
        <v>SE-000274224</v>
      </c>
      <c r="D2540" s="4" t="s">
        <v>11</v>
      </c>
      <c r="E2540" s="5">
        <v>0</v>
      </c>
      <c r="F2540" s="5">
        <v>0</v>
      </c>
      <c r="G2540" s="5">
        <v>0</v>
      </c>
      <c r="H2540" s="4" t="s">
        <v>11</v>
      </c>
      <c r="I2540" s="5">
        <v>0</v>
      </c>
      <c r="J2540" s="4">
        <v>45916.294918981483</v>
      </c>
    </row>
    <row r="2541" spans="1:10" x14ac:dyDescent="0.2">
      <c r="A2541" s="2" t="s">
        <v>10</v>
      </c>
      <c r="B2541" s="3" t="str">
        <f t="shared" si="49"/>
        <v>France - HCP Survey Email - June 2025</v>
      </c>
      <c r="C2541" s="3" t="str">
        <f>HYPERLINK("https://otsuka-europe-crm.veevavault.com/ui/#object/sent_email__v/VBLZ025E82GNP4E", "SE-000274225")</f>
        <v>SE-000274225</v>
      </c>
      <c r="D2541" s="4">
        <v>45916.754328703704</v>
      </c>
      <c r="E2541" s="5">
        <v>1</v>
      </c>
      <c r="F2541" s="5">
        <v>1</v>
      </c>
      <c r="G2541" s="5">
        <v>0</v>
      </c>
      <c r="H2541" s="4" t="s">
        <v>11</v>
      </c>
      <c r="I2541" s="5">
        <v>0</v>
      </c>
      <c r="J2541" s="4">
        <v>45916.294733796298</v>
      </c>
    </row>
    <row r="2542" spans="1:10" x14ac:dyDescent="0.2">
      <c r="A2542" s="2" t="s">
        <v>10</v>
      </c>
      <c r="B2542" s="3" t="str">
        <f t="shared" si="49"/>
        <v>France - HCP Survey Email - June 2025</v>
      </c>
      <c r="C2542" s="3" t="str">
        <f>HYPERLINK("https://otsuka-europe-crm.veevavault.com/ui/#object/sent_email__v/VBLZ025E82GNP4F", "SE-000274226")</f>
        <v>SE-000274226</v>
      </c>
      <c r="D2542" s="4">
        <v>45916.513541666667</v>
      </c>
      <c r="E2542" s="5">
        <v>1</v>
      </c>
      <c r="F2542" s="5">
        <v>2</v>
      </c>
      <c r="G2542" s="5">
        <v>0</v>
      </c>
      <c r="H2542" s="4" t="s">
        <v>11</v>
      </c>
      <c r="I2542" s="5">
        <v>0</v>
      </c>
      <c r="J2542" s="4">
        <v>45916.294490740744</v>
      </c>
    </row>
    <row r="2543" spans="1:10" x14ac:dyDescent="0.2">
      <c r="A2543" s="2" t="s">
        <v>10</v>
      </c>
      <c r="B2543" s="3" t="str">
        <f t="shared" si="49"/>
        <v>France - HCP Survey Email - June 2025</v>
      </c>
      <c r="C2543" s="3" t="str">
        <f>HYPERLINK("https://otsuka-europe-crm.veevavault.com/ui/#object/sent_email__v/VBLZ025E82GNP4G", "SE-000274227")</f>
        <v>SE-000274227</v>
      </c>
      <c r="D2543" s="4" t="s">
        <v>11</v>
      </c>
      <c r="E2543" s="5">
        <v>0</v>
      </c>
      <c r="F2543" s="5">
        <v>0</v>
      </c>
      <c r="G2543" s="5">
        <v>0</v>
      </c>
      <c r="H2543" s="4" t="s">
        <v>11</v>
      </c>
      <c r="I2543" s="5">
        <v>0</v>
      </c>
      <c r="J2543" s="4">
        <v>45916.294212962966</v>
      </c>
    </row>
    <row r="2544" spans="1:10" x14ac:dyDescent="0.2">
      <c r="A2544" s="2" t="s">
        <v>10</v>
      </c>
      <c r="B2544" s="3" t="str">
        <f t="shared" si="49"/>
        <v>France - HCP Survey Email - June 2025</v>
      </c>
      <c r="C2544" s="3" t="str">
        <f>HYPERLINK("https://otsuka-europe-crm.veevavault.com/ui/#object/sent_email__v/VBLZ025E82GNP4H", "SE-000274228")</f>
        <v>SE-000274228</v>
      </c>
      <c r="D2544" s="4" t="s">
        <v>11</v>
      </c>
      <c r="E2544" s="5">
        <v>0</v>
      </c>
      <c r="F2544" s="5">
        <v>0</v>
      </c>
      <c r="G2544" s="5">
        <v>0</v>
      </c>
      <c r="H2544" s="4" t="s">
        <v>11</v>
      </c>
      <c r="I2544" s="5">
        <v>0</v>
      </c>
      <c r="J2544" s="4">
        <v>45916.294861111113</v>
      </c>
    </row>
    <row r="2545" spans="1:10" x14ac:dyDescent="0.2">
      <c r="A2545" s="2" t="s">
        <v>10</v>
      </c>
      <c r="B2545" s="3" t="str">
        <f t="shared" si="49"/>
        <v>France - HCP Survey Email - June 2025</v>
      </c>
      <c r="C2545" s="3" t="str">
        <f>HYPERLINK("https://otsuka-europe-crm.veevavault.com/ui/#object/sent_email__v/VBLZ025E82GNP4I", "SE-000274229")</f>
        <v>SE-000274229</v>
      </c>
      <c r="D2545" s="4" t="s">
        <v>11</v>
      </c>
      <c r="E2545" s="5">
        <v>0</v>
      </c>
      <c r="F2545" s="5">
        <v>0</v>
      </c>
      <c r="G2545" s="5">
        <v>0</v>
      </c>
      <c r="H2545" s="4" t="s">
        <v>11</v>
      </c>
      <c r="I2545" s="5">
        <v>0</v>
      </c>
      <c r="J2545" s="4">
        <v>45916.294618055559</v>
      </c>
    </row>
    <row r="2546" spans="1:10" x14ac:dyDescent="0.2">
      <c r="A2546" s="2" t="s">
        <v>10</v>
      </c>
      <c r="B2546" s="3" t="str">
        <f t="shared" si="49"/>
        <v>France - HCP Survey Email - June 2025</v>
      </c>
      <c r="C2546" s="3" t="str">
        <f>HYPERLINK("https://otsuka-europe-crm.veevavault.com/ui/#object/sent_email__v/VBLZ025E82GNP4J", "SE-000274230")</f>
        <v>SE-000274230</v>
      </c>
      <c r="D2546" s="4" t="s">
        <v>11</v>
      </c>
      <c r="E2546" s="5">
        <v>0</v>
      </c>
      <c r="F2546" s="5">
        <v>0</v>
      </c>
      <c r="G2546" s="5">
        <v>0</v>
      </c>
      <c r="H2546" s="4" t="s">
        <v>11</v>
      </c>
      <c r="I2546" s="5">
        <v>0</v>
      </c>
      <c r="J2546" s="4">
        <v>45916.294409722221</v>
      </c>
    </row>
    <row r="2547" spans="1:10" x14ac:dyDescent="0.2">
      <c r="A2547" s="2" t="s">
        <v>10</v>
      </c>
      <c r="B2547" s="3" t="str">
        <f t="shared" si="49"/>
        <v>France - HCP Survey Email - June 2025</v>
      </c>
      <c r="C2547" s="3" t="str">
        <f>HYPERLINK("https://otsuka-europe-crm.veevavault.com/ui/#object/sent_email__v/VBLZ025E82GNP4K", "SE-000274231")</f>
        <v>SE-000274231</v>
      </c>
      <c r="D2547" s="4" t="s">
        <v>11</v>
      </c>
      <c r="E2547" s="5">
        <v>0</v>
      </c>
      <c r="F2547" s="5">
        <v>0</v>
      </c>
      <c r="G2547" s="5">
        <v>0</v>
      </c>
      <c r="H2547" s="4" t="s">
        <v>11</v>
      </c>
      <c r="I2547" s="5">
        <v>0</v>
      </c>
      <c r="J2547" s="4">
        <v>45916.294907407406</v>
      </c>
    </row>
    <row r="2548" spans="1:10" x14ac:dyDescent="0.2">
      <c r="A2548" s="2" t="s">
        <v>10</v>
      </c>
      <c r="B2548" s="3" t="str">
        <f t="shared" si="49"/>
        <v>France - HCP Survey Email - June 2025</v>
      </c>
      <c r="C2548" s="3" t="str">
        <f>HYPERLINK("https://otsuka-europe-crm.veevavault.com/ui/#object/sent_email__v/VBLZ025E82GNP4L", "SE-000274232")</f>
        <v>SE-000274232</v>
      </c>
      <c r="D2548" s="4" t="s">
        <v>11</v>
      </c>
      <c r="E2548" s="5">
        <v>0</v>
      </c>
      <c r="F2548" s="5">
        <v>0</v>
      </c>
      <c r="G2548" s="5">
        <v>0</v>
      </c>
      <c r="H2548" s="4" t="s">
        <v>11</v>
      </c>
      <c r="I2548" s="5">
        <v>0</v>
      </c>
      <c r="J2548" s="4">
        <v>45916.294189814813</v>
      </c>
    </row>
    <row r="2549" spans="1:10" x14ac:dyDescent="0.2">
      <c r="A2549" s="2" t="s">
        <v>10</v>
      </c>
      <c r="B2549" s="3" t="str">
        <f t="shared" si="49"/>
        <v>France - HCP Survey Email - June 2025</v>
      </c>
      <c r="C2549" s="3" t="str">
        <f>HYPERLINK("https://otsuka-europe-crm.veevavault.com/ui/#object/sent_email__v/VBLZ025E82GNP4M", "SE-000274233")</f>
        <v>SE-000274233</v>
      </c>
      <c r="D2549" s="4">
        <v>45916.367349537039</v>
      </c>
      <c r="E2549" s="5">
        <v>1</v>
      </c>
      <c r="F2549" s="5">
        <v>1</v>
      </c>
      <c r="G2549" s="5">
        <v>0</v>
      </c>
      <c r="H2549" s="4" t="s">
        <v>11</v>
      </c>
      <c r="I2549" s="5">
        <v>0</v>
      </c>
      <c r="J2549" s="4">
        <v>45916.294444444444</v>
      </c>
    </row>
    <row r="2550" spans="1:10" x14ac:dyDescent="0.2">
      <c r="A2550" s="2" t="s">
        <v>10</v>
      </c>
      <c r="B2550" s="3" t="str">
        <f t="shared" si="49"/>
        <v>France - HCP Survey Email - June 2025</v>
      </c>
      <c r="C2550" s="3" t="str">
        <f>HYPERLINK("https://otsuka-europe-crm.veevavault.com/ui/#object/sent_email__v/VBLZ025E82GNP4N", "SE-000274234")</f>
        <v>SE-000274234</v>
      </c>
      <c r="D2550" s="4" t="s">
        <v>11</v>
      </c>
      <c r="E2550" s="5">
        <v>0</v>
      </c>
      <c r="F2550" s="5">
        <v>0</v>
      </c>
      <c r="G2550" s="5">
        <v>0</v>
      </c>
      <c r="H2550" s="4" t="s">
        <v>11</v>
      </c>
      <c r="I2550" s="5">
        <v>0</v>
      </c>
      <c r="J2550" s="4">
        <v>45916.294664351852</v>
      </c>
    </row>
    <row r="2551" spans="1:10" x14ac:dyDescent="0.2">
      <c r="A2551" s="2" t="s">
        <v>10</v>
      </c>
      <c r="B2551" s="3" t="str">
        <f t="shared" si="49"/>
        <v>France - HCP Survey Email - June 2025</v>
      </c>
      <c r="C2551" s="3" t="str">
        <f>HYPERLINK("https://otsuka-europe-crm.veevavault.com/ui/#object/sent_email__v/VBLZ025E82GNP4O", "SE-000274235")</f>
        <v>SE-000274235</v>
      </c>
      <c r="D2551" s="4">
        <v>45916.313414351855</v>
      </c>
      <c r="E2551" s="5">
        <v>1</v>
      </c>
      <c r="F2551" s="5">
        <v>1</v>
      </c>
      <c r="G2551" s="5">
        <v>0</v>
      </c>
      <c r="H2551" s="4" t="s">
        <v>11</v>
      </c>
      <c r="I2551" s="5">
        <v>0</v>
      </c>
      <c r="J2551" s="4">
        <v>45916.294953703706</v>
      </c>
    </row>
    <row r="2552" spans="1:10" x14ac:dyDescent="0.2">
      <c r="A2552" s="2" t="s">
        <v>10</v>
      </c>
      <c r="B2552" s="3" t="str">
        <f t="shared" si="49"/>
        <v>France - HCP Survey Email - June 2025</v>
      </c>
      <c r="C2552" s="3" t="str">
        <f>HYPERLINK("https://otsuka-europe-crm.veevavault.com/ui/#object/sent_email__v/VBLZ025E82GNP4P", "SE-000274236")</f>
        <v>SE-000274236</v>
      </c>
      <c r="D2552" s="4" t="s">
        <v>11</v>
      </c>
      <c r="E2552" s="5">
        <v>0</v>
      </c>
      <c r="F2552" s="5">
        <v>0</v>
      </c>
      <c r="G2552" s="5">
        <v>0</v>
      </c>
      <c r="H2552" s="4" t="s">
        <v>11</v>
      </c>
      <c r="I2552" s="5">
        <v>0</v>
      </c>
      <c r="J2552" s="4">
        <v>45916.294270833336</v>
      </c>
    </row>
    <row r="2553" spans="1:10" x14ac:dyDescent="0.2">
      <c r="A2553" s="2" t="s">
        <v>10</v>
      </c>
      <c r="B2553" s="3" t="str">
        <f t="shared" si="49"/>
        <v>France - HCP Survey Email - June 2025</v>
      </c>
      <c r="C2553" s="3" t="str">
        <f>HYPERLINK("https://otsuka-europe-crm.veevavault.com/ui/#object/sent_email__v/VBLZ025E82GNP4R", "SE-000274238")</f>
        <v>SE-000274238</v>
      </c>
      <c r="D2553" s="4">
        <v>45959.708738425928</v>
      </c>
      <c r="E2553" s="5">
        <v>1</v>
      </c>
      <c r="F2553" s="5">
        <v>2</v>
      </c>
      <c r="G2553" s="5">
        <v>0</v>
      </c>
      <c r="H2553" s="4" t="s">
        <v>11</v>
      </c>
      <c r="I2553" s="5">
        <v>0</v>
      </c>
      <c r="J2553" s="4">
        <v>45916.294687499998</v>
      </c>
    </row>
    <row r="2554" spans="1:10" x14ac:dyDescent="0.2">
      <c r="A2554" s="2" t="s">
        <v>10</v>
      </c>
      <c r="B2554" s="3" t="str">
        <f t="shared" si="49"/>
        <v>France - HCP Survey Email - June 2025</v>
      </c>
      <c r="C2554" s="3" t="str">
        <f>HYPERLINK("https://otsuka-europe-crm.veevavault.com/ui/#object/sent_email__v/VBLZ025E82GNP4S", "SE-000274239")</f>
        <v>SE-000274239</v>
      </c>
      <c r="D2554" s="4" t="s">
        <v>11</v>
      </c>
      <c r="E2554" s="5">
        <v>0</v>
      </c>
      <c r="F2554" s="5">
        <v>0</v>
      </c>
      <c r="G2554" s="5">
        <v>0</v>
      </c>
      <c r="H2554" s="4" t="s">
        <v>11</v>
      </c>
      <c r="I2554" s="5">
        <v>0</v>
      </c>
      <c r="J2554" s="4">
        <v>45916.294988425929</v>
      </c>
    </row>
    <row r="2555" spans="1:10" x14ac:dyDescent="0.2">
      <c r="A2555" s="2" t="s">
        <v>10</v>
      </c>
      <c r="B2555" s="3" t="str">
        <f t="shared" si="49"/>
        <v>France - HCP Survey Email - June 2025</v>
      </c>
      <c r="C2555" s="3" t="str">
        <f>HYPERLINK("https://otsuka-europe-crm.veevavault.com/ui/#object/sent_email__v/VBLZ025E82GNP4T", "SE-000274240")</f>
        <v>SE-000274240</v>
      </c>
      <c r="D2555" s="4" t="s">
        <v>11</v>
      </c>
      <c r="E2555" s="5">
        <v>0</v>
      </c>
      <c r="F2555" s="5">
        <v>0</v>
      </c>
      <c r="G2555" s="5">
        <v>0</v>
      </c>
      <c r="H2555" s="4" t="s">
        <v>11</v>
      </c>
      <c r="I2555" s="5">
        <v>0</v>
      </c>
      <c r="J2555" s="4">
        <v>45916.294374999998</v>
      </c>
    </row>
    <row r="2556" spans="1:10" x14ac:dyDescent="0.2">
      <c r="A2556" s="2" t="s">
        <v>10</v>
      </c>
      <c r="B2556" s="3" t="str">
        <f t="shared" si="49"/>
        <v>France - HCP Survey Email - June 2025</v>
      </c>
      <c r="C2556" s="3" t="str">
        <f>HYPERLINK("https://otsuka-europe-crm.veevavault.com/ui/#object/sent_email__v/VBLZ025E82GNP4U", "SE-000274241")</f>
        <v>SE-000274241</v>
      </c>
      <c r="D2556" s="4" t="s">
        <v>11</v>
      </c>
      <c r="E2556" s="5">
        <v>0</v>
      </c>
      <c r="F2556" s="5">
        <v>0</v>
      </c>
      <c r="G2556" s="5">
        <v>0</v>
      </c>
      <c r="H2556" s="4" t="s">
        <v>11</v>
      </c>
      <c r="I2556" s="5">
        <v>0</v>
      </c>
      <c r="J2556" s="4">
        <v>45916.29451388889</v>
      </c>
    </row>
    <row r="2557" spans="1:10" x14ac:dyDescent="0.2">
      <c r="A2557" s="2" t="s">
        <v>10</v>
      </c>
      <c r="B2557" s="3" t="str">
        <f t="shared" si="49"/>
        <v>France - HCP Survey Email - June 2025</v>
      </c>
      <c r="C2557" s="3" t="str">
        <f>HYPERLINK("https://otsuka-europe-crm.veevavault.com/ui/#object/sent_email__v/VBLZ025E82GNP4V", "SE-000274242")</f>
        <v>SE-000274242</v>
      </c>
      <c r="D2557" s="4" t="s">
        <v>11</v>
      </c>
      <c r="E2557" s="5">
        <v>0</v>
      </c>
      <c r="F2557" s="5">
        <v>0</v>
      </c>
      <c r="G2557" s="5">
        <v>0</v>
      </c>
      <c r="H2557" s="4" t="s">
        <v>11</v>
      </c>
      <c r="I2557" s="5">
        <v>0</v>
      </c>
      <c r="J2557" s="4">
        <v>45916.294745370367</v>
      </c>
    </row>
    <row r="2558" spans="1:10" x14ac:dyDescent="0.2">
      <c r="A2558" s="2" t="s">
        <v>10</v>
      </c>
      <c r="B2558" s="3" t="str">
        <f t="shared" si="49"/>
        <v>France - HCP Survey Email - June 2025</v>
      </c>
      <c r="C2558" s="3" t="str">
        <f>HYPERLINK("https://otsuka-europe-crm.veevavault.com/ui/#object/sent_email__v/VBLZ025E82GNP4W", "SE-000274243")</f>
        <v>SE-000274243</v>
      </c>
      <c r="D2558" s="4" t="s">
        <v>11</v>
      </c>
      <c r="E2558" s="5">
        <v>0</v>
      </c>
      <c r="F2558" s="5">
        <v>0</v>
      </c>
      <c r="G2558" s="5">
        <v>0</v>
      </c>
      <c r="H2558" s="4" t="s">
        <v>11</v>
      </c>
      <c r="I2558" s="5">
        <v>0</v>
      </c>
      <c r="J2558" s="4">
        <v>45916.295057870368</v>
      </c>
    </row>
    <row r="2559" spans="1:10" x14ac:dyDescent="0.2">
      <c r="A2559" s="2" t="s">
        <v>10</v>
      </c>
      <c r="B2559" s="3" t="str">
        <f t="shared" si="49"/>
        <v>France - HCP Survey Email - June 2025</v>
      </c>
      <c r="C2559" s="3" t="str">
        <f>HYPERLINK("https://otsuka-europe-crm.veevavault.com/ui/#object/sent_email__v/VBLZ025E82GNP4X", "SE-000274244")</f>
        <v>SE-000274244</v>
      </c>
      <c r="D2559" s="4" t="s">
        <v>11</v>
      </c>
      <c r="E2559" s="5">
        <v>0</v>
      </c>
      <c r="F2559" s="5">
        <v>0</v>
      </c>
      <c r="G2559" s="5">
        <v>0</v>
      </c>
      <c r="H2559" s="4" t="s">
        <v>11</v>
      </c>
      <c r="I2559" s="5">
        <v>0</v>
      </c>
      <c r="J2559" s="4">
        <v>45916.294328703705</v>
      </c>
    </row>
    <row r="2560" spans="1:10" x14ac:dyDescent="0.2">
      <c r="A2560" s="2" t="s">
        <v>10</v>
      </c>
      <c r="B2560" s="3" t="str">
        <f t="shared" si="49"/>
        <v>France - HCP Survey Email - June 2025</v>
      </c>
      <c r="C2560" s="3" t="str">
        <f>HYPERLINK("https://otsuka-europe-crm.veevavault.com/ui/#object/sent_email__v/VBLZ025E82GNP4Y", "SE-000274245")</f>
        <v>SE-000274245</v>
      </c>
      <c r="D2560" s="4" t="s">
        <v>11</v>
      </c>
      <c r="E2560" s="5">
        <v>0</v>
      </c>
      <c r="F2560" s="5">
        <v>0</v>
      </c>
      <c r="G2560" s="5">
        <v>0</v>
      </c>
      <c r="H2560" s="4" t="s">
        <v>11</v>
      </c>
      <c r="I2560" s="5">
        <v>0</v>
      </c>
      <c r="J2560" s="4">
        <v>45916.294629629629</v>
      </c>
    </row>
    <row r="2561" spans="1:10" x14ac:dyDescent="0.2">
      <c r="A2561" s="2" t="s">
        <v>10</v>
      </c>
      <c r="B2561" s="3" t="str">
        <f t="shared" ref="B2561:B2624" si="50">HYPERLINK("https://otsuka-europe-crm.veevavault.com/ui/#object/approved_document__v/V5OZ025E82TMV97", "France - HCP Survey Email - June 2025")</f>
        <v>France - HCP Survey Email - June 2025</v>
      </c>
      <c r="C2561" s="3" t="str">
        <f>HYPERLINK("https://otsuka-europe-crm.veevavault.com/ui/#object/sent_email__v/VBLZ025E82GNP4Z", "SE-000274246")</f>
        <v>SE-000274246</v>
      </c>
      <c r="D2561" s="4" t="s">
        <v>11</v>
      </c>
      <c r="E2561" s="5">
        <v>0</v>
      </c>
      <c r="F2561" s="5">
        <v>0</v>
      </c>
      <c r="G2561" s="5">
        <v>0</v>
      </c>
      <c r="H2561" s="4" t="s">
        <v>11</v>
      </c>
      <c r="I2561" s="5">
        <v>0</v>
      </c>
      <c r="J2561" s="4">
        <v>45916.29482638889</v>
      </c>
    </row>
    <row r="2562" spans="1:10" x14ac:dyDescent="0.2">
      <c r="A2562" s="2" t="s">
        <v>10</v>
      </c>
      <c r="B2562" s="3" t="str">
        <f t="shared" si="50"/>
        <v>France - HCP Survey Email - June 2025</v>
      </c>
      <c r="C2562" s="3" t="str">
        <f>HYPERLINK("https://otsuka-europe-crm.veevavault.com/ui/#object/sent_email__v/VBLZ025E82GNP50", "SE-000274247")</f>
        <v>SE-000274247</v>
      </c>
      <c r="D2562" s="4" t="s">
        <v>11</v>
      </c>
      <c r="E2562" s="5">
        <v>0</v>
      </c>
      <c r="F2562" s="5">
        <v>0</v>
      </c>
      <c r="G2562" s="5">
        <v>0</v>
      </c>
      <c r="H2562" s="4" t="s">
        <v>11</v>
      </c>
      <c r="I2562" s="5">
        <v>0</v>
      </c>
      <c r="J2562" s="4">
        <v>45916.294224537036</v>
      </c>
    </row>
    <row r="2563" spans="1:10" x14ac:dyDescent="0.2">
      <c r="A2563" s="2" t="s">
        <v>10</v>
      </c>
      <c r="B2563" s="3" t="str">
        <f t="shared" si="50"/>
        <v>France - HCP Survey Email - June 2025</v>
      </c>
      <c r="C2563" s="3" t="str">
        <f>HYPERLINK("https://otsuka-europe-crm.veevavault.com/ui/#object/sent_email__v/VBLZ025E82GNP51", "SE-000274248")</f>
        <v>SE-000274248</v>
      </c>
      <c r="D2563" s="4" t="s">
        <v>11</v>
      </c>
      <c r="E2563" s="5">
        <v>0</v>
      </c>
      <c r="F2563" s="5">
        <v>0</v>
      </c>
      <c r="G2563" s="5">
        <v>0</v>
      </c>
      <c r="H2563" s="4" t="s">
        <v>11</v>
      </c>
      <c r="I2563" s="5">
        <v>0</v>
      </c>
      <c r="J2563" s="4">
        <v>45916.294409722221</v>
      </c>
    </row>
    <row r="2564" spans="1:10" x14ac:dyDescent="0.2">
      <c r="A2564" s="2" t="s">
        <v>10</v>
      </c>
      <c r="B2564" s="3" t="str">
        <f t="shared" si="50"/>
        <v>France - HCP Survey Email - June 2025</v>
      </c>
      <c r="C2564" s="3" t="str">
        <f>HYPERLINK("https://otsuka-europe-crm.veevavault.com/ui/#object/sent_email__v/VBLZ025E82GNP52", "SE-000274249")</f>
        <v>SE-000274249</v>
      </c>
      <c r="D2564" s="4" t="s">
        <v>11</v>
      </c>
      <c r="E2564" s="5">
        <v>0</v>
      </c>
      <c r="F2564" s="5">
        <v>0</v>
      </c>
      <c r="G2564" s="5">
        <v>0</v>
      </c>
      <c r="H2564" s="4" t="s">
        <v>11</v>
      </c>
      <c r="I2564" s="5">
        <v>0</v>
      </c>
      <c r="J2564" s="4">
        <v>45916.294629629629</v>
      </c>
    </row>
    <row r="2565" spans="1:10" x14ac:dyDescent="0.2">
      <c r="A2565" s="2" t="s">
        <v>10</v>
      </c>
      <c r="B2565" s="3" t="str">
        <f t="shared" si="50"/>
        <v>France - HCP Survey Email - June 2025</v>
      </c>
      <c r="C2565" s="3" t="str">
        <f>HYPERLINK("https://otsuka-europe-crm.veevavault.com/ui/#object/sent_email__v/VBLZ025E82GNP53", "SE-000274250")</f>
        <v>SE-000274250</v>
      </c>
      <c r="D2565" s="4">
        <v>45916.357523148145</v>
      </c>
      <c r="E2565" s="5">
        <v>1</v>
      </c>
      <c r="F2565" s="5">
        <v>1</v>
      </c>
      <c r="G2565" s="5">
        <v>1</v>
      </c>
      <c r="H2565" s="4">
        <v>45916.375127314815</v>
      </c>
      <c r="I2565" s="5">
        <v>1</v>
      </c>
      <c r="J2565" s="4">
        <v>45916.294895833336</v>
      </c>
    </row>
    <row r="2566" spans="1:10" x14ac:dyDescent="0.2">
      <c r="A2566" s="2" t="s">
        <v>10</v>
      </c>
      <c r="B2566" s="3" t="str">
        <f t="shared" si="50"/>
        <v>France - HCP Survey Email - June 2025</v>
      </c>
      <c r="C2566" s="3" t="str">
        <f>HYPERLINK("https://otsuka-europe-crm.veevavault.com/ui/#object/sent_email__v/VBLZ025E82GNP54", "SE-000274251")</f>
        <v>SE-000274251</v>
      </c>
      <c r="D2566" s="4" t="s">
        <v>11</v>
      </c>
      <c r="E2566" s="5">
        <v>0</v>
      </c>
      <c r="F2566" s="5">
        <v>0</v>
      </c>
      <c r="G2566" s="5">
        <v>0</v>
      </c>
      <c r="H2566" s="4" t="s">
        <v>11</v>
      </c>
      <c r="I2566" s="5">
        <v>0</v>
      </c>
      <c r="J2566" s="4">
        <v>45916.294270833336</v>
      </c>
    </row>
    <row r="2567" spans="1:10" x14ac:dyDescent="0.2">
      <c r="A2567" s="2" t="s">
        <v>10</v>
      </c>
      <c r="B2567" s="3" t="str">
        <f t="shared" si="50"/>
        <v>France - HCP Survey Email - June 2025</v>
      </c>
      <c r="C2567" s="3" t="str">
        <f>HYPERLINK("https://otsuka-europe-crm.veevavault.com/ui/#object/sent_email__v/VBLZ025E82GNP55", "SE-000274252")</f>
        <v>SE-000274252</v>
      </c>
      <c r="D2567" s="4" t="s">
        <v>11</v>
      </c>
      <c r="E2567" s="5">
        <v>0</v>
      </c>
      <c r="F2567" s="5">
        <v>0</v>
      </c>
      <c r="G2567" s="5">
        <v>0</v>
      </c>
      <c r="H2567" s="4" t="s">
        <v>11</v>
      </c>
      <c r="I2567" s="5">
        <v>0</v>
      </c>
      <c r="J2567" s="4">
        <v>45916.29451388889</v>
      </c>
    </row>
    <row r="2568" spans="1:10" x14ac:dyDescent="0.2">
      <c r="A2568" s="2" t="s">
        <v>10</v>
      </c>
      <c r="B2568" s="3" t="str">
        <f t="shared" si="50"/>
        <v>France - HCP Survey Email - June 2025</v>
      </c>
      <c r="C2568" s="3" t="str">
        <f>HYPERLINK("https://otsuka-europe-crm.veevavault.com/ui/#object/sent_email__v/VBLZ025E82GNP56", "SE-000274253")</f>
        <v>SE-000274253</v>
      </c>
      <c r="D2568" s="4" t="s">
        <v>11</v>
      </c>
      <c r="E2568" s="5">
        <v>0</v>
      </c>
      <c r="F2568" s="5">
        <v>0</v>
      </c>
      <c r="G2568" s="5">
        <v>0</v>
      </c>
      <c r="H2568" s="4" t="s">
        <v>11</v>
      </c>
      <c r="I2568" s="5">
        <v>0</v>
      </c>
      <c r="J2568" s="4">
        <v>45916.294699074075</v>
      </c>
    </row>
    <row r="2569" spans="1:10" x14ac:dyDescent="0.2">
      <c r="A2569" s="2" t="s">
        <v>10</v>
      </c>
      <c r="B2569" s="3" t="str">
        <f t="shared" si="50"/>
        <v>France - HCP Survey Email - June 2025</v>
      </c>
      <c r="C2569" s="3" t="str">
        <f>HYPERLINK("https://otsuka-europe-crm.veevavault.com/ui/#object/sent_email__v/VBLZ025E82GNP57", "SE-000274254")</f>
        <v>SE-000274254</v>
      </c>
      <c r="D2569" s="4" t="s">
        <v>11</v>
      </c>
      <c r="E2569" s="5">
        <v>0</v>
      </c>
      <c r="F2569" s="5">
        <v>0</v>
      </c>
      <c r="G2569" s="5">
        <v>0</v>
      </c>
      <c r="H2569" s="4" t="s">
        <v>11</v>
      </c>
      <c r="I2569" s="5">
        <v>0</v>
      </c>
      <c r="J2569" s="4">
        <v>45916.295046296298</v>
      </c>
    </row>
    <row r="2570" spans="1:10" x14ac:dyDescent="0.2">
      <c r="A2570" s="2" t="s">
        <v>10</v>
      </c>
      <c r="B2570" s="3" t="str">
        <f t="shared" si="50"/>
        <v>France - HCP Survey Email - June 2025</v>
      </c>
      <c r="C2570" s="3" t="str">
        <f>HYPERLINK("https://otsuka-europe-crm.veevavault.com/ui/#object/sent_email__v/VBLZ025E82GNP58", "SE-000274255")</f>
        <v>SE-000274255</v>
      </c>
      <c r="D2570" s="4" t="s">
        <v>11</v>
      </c>
      <c r="E2570" s="5">
        <v>0</v>
      </c>
      <c r="F2570" s="5">
        <v>0</v>
      </c>
      <c r="G2570" s="5">
        <v>0</v>
      </c>
      <c r="H2570" s="4" t="s">
        <v>11</v>
      </c>
      <c r="I2570" s="5">
        <v>0</v>
      </c>
      <c r="J2570" s="4">
        <v>45916.294409722221</v>
      </c>
    </row>
    <row r="2571" spans="1:10" x14ac:dyDescent="0.2">
      <c r="A2571" s="2" t="s">
        <v>10</v>
      </c>
      <c r="B2571" s="3" t="str">
        <f t="shared" si="50"/>
        <v>France - HCP Survey Email - June 2025</v>
      </c>
      <c r="C2571" s="3" t="str">
        <f>HYPERLINK("https://otsuka-europe-crm.veevavault.com/ui/#object/sent_email__v/VBLZ025E82GNP59", "SE-000274256")</f>
        <v>SE-000274256</v>
      </c>
      <c r="D2571" s="4">
        <v>45922.526643518519</v>
      </c>
      <c r="E2571" s="5">
        <v>1</v>
      </c>
      <c r="F2571" s="5">
        <v>4</v>
      </c>
      <c r="G2571" s="5">
        <v>0</v>
      </c>
      <c r="H2571" s="4" t="s">
        <v>11</v>
      </c>
      <c r="I2571" s="5">
        <v>0</v>
      </c>
      <c r="J2571" s="4">
        <v>45916.294641203705</v>
      </c>
    </row>
    <row r="2572" spans="1:10" x14ac:dyDescent="0.2">
      <c r="A2572" s="2" t="s">
        <v>10</v>
      </c>
      <c r="B2572" s="3" t="str">
        <f t="shared" si="50"/>
        <v>France - HCP Survey Email - June 2025</v>
      </c>
      <c r="C2572" s="3" t="str">
        <f>HYPERLINK("https://otsuka-europe-crm.veevavault.com/ui/#object/sent_email__v/VBLZ025E82GNP5A", "SE-000274257")</f>
        <v>SE-000274257</v>
      </c>
      <c r="D2572" s="4" t="s">
        <v>11</v>
      </c>
      <c r="E2572" s="5">
        <v>0</v>
      </c>
      <c r="F2572" s="5">
        <v>0</v>
      </c>
      <c r="G2572" s="5">
        <v>0</v>
      </c>
      <c r="H2572" s="4" t="s">
        <v>11</v>
      </c>
      <c r="I2572" s="5">
        <v>0</v>
      </c>
      <c r="J2572" s="4">
        <v>45916.29482638889</v>
      </c>
    </row>
    <row r="2573" spans="1:10" x14ac:dyDescent="0.2">
      <c r="A2573" s="2" t="s">
        <v>10</v>
      </c>
      <c r="B2573" s="3" t="str">
        <f t="shared" si="50"/>
        <v>France - HCP Survey Email - June 2025</v>
      </c>
      <c r="C2573" s="3" t="str">
        <f>HYPERLINK("https://otsuka-europe-crm.veevavault.com/ui/#object/sent_email__v/VBLZ025E82GNP5B", "SE-000274258")</f>
        <v>SE-000274258</v>
      </c>
      <c r="D2573" s="4" t="s">
        <v>11</v>
      </c>
      <c r="E2573" s="5">
        <v>0</v>
      </c>
      <c r="F2573" s="5">
        <v>0</v>
      </c>
      <c r="G2573" s="5">
        <v>0</v>
      </c>
      <c r="H2573" s="4" t="s">
        <v>11</v>
      </c>
      <c r="I2573" s="5">
        <v>0</v>
      </c>
      <c r="J2573" s="4">
        <v>45916.294236111113</v>
      </c>
    </row>
    <row r="2574" spans="1:10" x14ac:dyDescent="0.2">
      <c r="A2574" s="2" t="s">
        <v>10</v>
      </c>
      <c r="B2574" s="3" t="str">
        <f t="shared" si="50"/>
        <v>France - HCP Survey Email - June 2025</v>
      </c>
      <c r="C2574" s="3" t="str">
        <f>HYPERLINK("https://otsuka-europe-crm.veevavault.com/ui/#object/sent_email__v/VBLZ025E82GNP5C", "SE-000274259")</f>
        <v>SE-000274259</v>
      </c>
      <c r="D2574" s="4" t="s">
        <v>11</v>
      </c>
      <c r="E2574" s="5">
        <v>0</v>
      </c>
      <c r="F2574" s="5">
        <v>0</v>
      </c>
      <c r="G2574" s="5">
        <v>0</v>
      </c>
      <c r="H2574" s="4" t="s">
        <v>11</v>
      </c>
      <c r="I2574" s="5">
        <v>0</v>
      </c>
      <c r="J2574" s="4">
        <v>45916.294456018521</v>
      </c>
    </row>
    <row r="2575" spans="1:10" x14ac:dyDescent="0.2">
      <c r="A2575" s="2" t="s">
        <v>10</v>
      </c>
      <c r="B2575" s="3" t="str">
        <f t="shared" si="50"/>
        <v>France - HCP Survey Email - June 2025</v>
      </c>
      <c r="C2575" s="3" t="str">
        <f>HYPERLINK("https://otsuka-europe-crm.veevavault.com/ui/#object/sent_email__v/VBLZ025E82GNP5D", "SE-000274260")</f>
        <v>SE-000274260</v>
      </c>
      <c r="D2575" s="4" t="s">
        <v>11</v>
      </c>
      <c r="E2575" s="5">
        <v>0</v>
      </c>
      <c r="F2575" s="5">
        <v>0</v>
      </c>
      <c r="G2575" s="5">
        <v>0</v>
      </c>
      <c r="H2575" s="4" t="s">
        <v>11</v>
      </c>
      <c r="I2575" s="5">
        <v>0</v>
      </c>
      <c r="J2575" s="4">
        <v>45916.294733796298</v>
      </c>
    </row>
    <row r="2576" spans="1:10" x14ac:dyDescent="0.2">
      <c r="A2576" s="2" t="s">
        <v>10</v>
      </c>
      <c r="B2576" s="3" t="str">
        <f t="shared" si="50"/>
        <v>France - HCP Survey Email - June 2025</v>
      </c>
      <c r="C2576" s="3" t="str">
        <f>HYPERLINK("https://otsuka-europe-crm.veevavault.com/ui/#object/sent_email__v/VBLZ025E82GNP5E", "SE-000274261")</f>
        <v>SE-000274261</v>
      </c>
      <c r="D2576" s="4" t="s">
        <v>11</v>
      </c>
      <c r="E2576" s="5">
        <v>0</v>
      </c>
      <c r="F2576" s="5">
        <v>0</v>
      </c>
      <c r="G2576" s="5">
        <v>0</v>
      </c>
      <c r="H2576" s="4" t="s">
        <v>11</v>
      </c>
      <c r="I2576" s="5">
        <v>0</v>
      </c>
      <c r="J2576" s="4">
        <v>45916.294907407406</v>
      </c>
    </row>
    <row r="2577" spans="1:10" x14ac:dyDescent="0.2">
      <c r="A2577" s="2" t="s">
        <v>10</v>
      </c>
      <c r="B2577" s="3" t="str">
        <f t="shared" si="50"/>
        <v>France - HCP Survey Email - June 2025</v>
      </c>
      <c r="C2577" s="3" t="str">
        <f>HYPERLINK("https://otsuka-europe-crm.veevavault.com/ui/#object/sent_email__v/VBLZ025E82GNP5F", "SE-000274262")</f>
        <v>SE-000274262</v>
      </c>
      <c r="D2577" s="4" t="s">
        <v>11</v>
      </c>
      <c r="E2577" s="5">
        <v>0</v>
      </c>
      <c r="F2577" s="5">
        <v>0</v>
      </c>
      <c r="G2577" s="5">
        <v>0</v>
      </c>
      <c r="H2577" s="4" t="s">
        <v>11</v>
      </c>
      <c r="I2577" s="5">
        <v>0</v>
      </c>
      <c r="J2577" s="4">
        <v>45916.294328703705</v>
      </c>
    </row>
    <row r="2578" spans="1:10" x14ac:dyDescent="0.2">
      <c r="A2578" s="2" t="s">
        <v>10</v>
      </c>
      <c r="B2578" s="3" t="str">
        <f t="shared" si="50"/>
        <v>France - HCP Survey Email - June 2025</v>
      </c>
      <c r="C2578" s="3" t="str">
        <f>HYPERLINK("https://otsuka-europe-crm.veevavault.com/ui/#object/sent_email__v/VBLZ025E82GNP5G", "SE-000274263")</f>
        <v>SE-000274263</v>
      </c>
      <c r="D2578" s="4" t="s">
        <v>11</v>
      </c>
      <c r="E2578" s="5">
        <v>0</v>
      </c>
      <c r="F2578" s="5">
        <v>0</v>
      </c>
      <c r="G2578" s="5">
        <v>0</v>
      </c>
      <c r="H2578" s="4" t="s">
        <v>11</v>
      </c>
      <c r="I2578" s="5">
        <v>0</v>
      </c>
      <c r="J2578" s="4">
        <v>45916.294629629629</v>
      </c>
    </row>
    <row r="2579" spans="1:10" x14ac:dyDescent="0.2">
      <c r="A2579" s="2" t="s">
        <v>10</v>
      </c>
      <c r="B2579" s="3" t="str">
        <f t="shared" si="50"/>
        <v>France - HCP Survey Email - June 2025</v>
      </c>
      <c r="C2579" s="3" t="str">
        <f>HYPERLINK("https://otsuka-europe-crm.veevavault.com/ui/#object/sent_email__v/VBLZ025E82GNP5H", "SE-000274264")</f>
        <v>SE-000274264</v>
      </c>
      <c r="D2579" s="4" t="s">
        <v>11</v>
      </c>
      <c r="E2579" s="5">
        <v>0</v>
      </c>
      <c r="F2579" s="5">
        <v>0</v>
      </c>
      <c r="G2579" s="5">
        <v>0</v>
      </c>
      <c r="H2579" s="4" t="s">
        <v>11</v>
      </c>
      <c r="I2579" s="5">
        <v>0</v>
      </c>
      <c r="J2579" s="4">
        <v>45916.29478009259</v>
      </c>
    </row>
    <row r="2580" spans="1:10" x14ac:dyDescent="0.2">
      <c r="A2580" s="2" t="s">
        <v>10</v>
      </c>
      <c r="B2580" s="3" t="str">
        <f t="shared" si="50"/>
        <v>France - HCP Survey Email - June 2025</v>
      </c>
      <c r="C2580" s="3" t="str">
        <f>HYPERLINK("https://otsuka-europe-crm.veevavault.com/ui/#object/sent_email__v/VBLZ025E82GNP5I", "SE-000274265")</f>
        <v>SE-000274265</v>
      </c>
      <c r="D2580" s="4" t="s">
        <v>11</v>
      </c>
      <c r="E2580" s="5">
        <v>0</v>
      </c>
      <c r="F2580" s="5">
        <v>0</v>
      </c>
      <c r="G2580" s="5">
        <v>0</v>
      </c>
      <c r="H2580" s="4" t="s">
        <v>11</v>
      </c>
      <c r="I2580" s="5">
        <v>0</v>
      </c>
      <c r="J2580" s="4">
        <v>45916.295069444444</v>
      </c>
    </row>
    <row r="2581" spans="1:10" x14ac:dyDescent="0.2">
      <c r="A2581" s="2" t="s">
        <v>10</v>
      </c>
      <c r="B2581" s="3" t="str">
        <f t="shared" si="50"/>
        <v>France - HCP Survey Email - June 2025</v>
      </c>
      <c r="C2581" s="3" t="str">
        <f>HYPERLINK("https://otsuka-europe-crm.veevavault.com/ui/#object/sent_email__v/VBLZ025E82GNP5J", "SE-000274266")</f>
        <v>SE-000274266</v>
      </c>
      <c r="D2581" s="4" t="s">
        <v>11</v>
      </c>
      <c r="E2581" s="5">
        <v>0</v>
      </c>
      <c r="F2581" s="5">
        <v>0</v>
      </c>
      <c r="G2581" s="5">
        <v>0</v>
      </c>
      <c r="H2581" s="4" t="s">
        <v>11</v>
      </c>
      <c r="I2581" s="5">
        <v>0</v>
      </c>
      <c r="J2581" s="4">
        <v>45916.294305555559</v>
      </c>
    </row>
    <row r="2582" spans="1:10" x14ac:dyDescent="0.2">
      <c r="A2582" s="2" t="s">
        <v>10</v>
      </c>
      <c r="B2582" s="3" t="str">
        <f t="shared" si="50"/>
        <v>France - HCP Survey Email - June 2025</v>
      </c>
      <c r="C2582" s="3" t="str">
        <f>HYPERLINK("https://otsuka-europe-crm.veevavault.com/ui/#object/sent_email__v/VBLZ025E82GNP5K", "SE-000274267")</f>
        <v>SE-000274267</v>
      </c>
      <c r="D2582" s="4" t="s">
        <v>11</v>
      </c>
      <c r="E2582" s="5">
        <v>0</v>
      </c>
      <c r="F2582" s="5">
        <v>0</v>
      </c>
      <c r="G2582" s="5">
        <v>0</v>
      </c>
      <c r="H2582" s="4" t="s">
        <v>11</v>
      </c>
      <c r="I2582" s="5">
        <v>0</v>
      </c>
      <c r="J2582" s="4">
        <v>45916.294317129628</v>
      </c>
    </row>
    <row r="2583" spans="1:10" x14ac:dyDescent="0.2">
      <c r="A2583" s="2" t="s">
        <v>10</v>
      </c>
      <c r="B2583" s="3" t="str">
        <f t="shared" si="50"/>
        <v>France - HCP Survey Email - June 2025</v>
      </c>
      <c r="C2583" s="3" t="str">
        <f>HYPERLINK("https://otsuka-europe-crm.veevavault.com/ui/#object/sent_email__v/VBLZ025E82GNP5L", "SE-000274268")</f>
        <v>SE-000274268</v>
      </c>
      <c r="D2583" s="4" t="s">
        <v>11</v>
      </c>
      <c r="E2583" s="5">
        <v>0</v>
      </c>
      <c r="F2583" s="5">
        <v>0</v>
      </c>
      <c r="G2583" s="5">
        <v>0</v>
      </c>
      <c r="H2583" s="4" t="s">
        <v>11</v>
      </c>
      <c r="I2583" s="5">
        <v>0</v>
      </c>
      <c r="J2583" s="4">
        <v>45916.29451388889</v>
      </c>
    </row>
    <row r="2584" spans="1:10" x14ac:dyDescent="0.2">
      <c r="A2584" s="2" t="s">
        <v>10</v>
      </c>
      <c r="B2584" s="3" t="str">
        <f t="shared" si="50"/>
        <v>France - HCP Survey Email - June 2025</v>
      </c>
      <c r="C2584" s="3" t="str">
        <f>HYPERLINK("https://otsuka-europe-crm.veevavault.com/ui/#object/sent_email__v/VBLZ025E82GNP5M", "SE-000274269")</f>
        <v>SE-000274269</v>
      </c>
      <c r="D2584" s="4">
        <v>45916.294895833336</v>
      </c>
      <c r="E2584" s="5">
        <v>1</v>
      </c>
      <c r="F2584" s="5">
        <v>2</v>
      </c>
      <c r="G2584" s="5">
        <v>1</v>
      </c>
      <c r="H2584" s="4">
        <v>45916.294895833336</v>
      </c>
      <c r="I2584" s="5">
        <v>2</v>
      </c>
      <c r="J2584" s="4">
        <v>45916.29478009259</v>
      </c>
    </row>
    <row r="2585" spans="1:10" x14ac:dyDescent="0.2">
      <c r="A2585" s="2" t="s">
        <v>10</v>
      </c>
      <c r="B2585" s="3" t="str">
        <f t="shared" si="50"/>
        <v>France - HCP Survey Email - June 2025</v>
      </c>
      <c r="C2585" s="3" t="str">
        <f>HYPERLINK("https://otsuka-europe-crm.veevavault.com/ui/#object/sent_email__v/VBLZ025E82GNP5N", "SE-000274270")</f>
        <v>SE-000274270</v>
      </c>
      <c r="D2585" s="4" t="s">
        <v>11</v>
      </c>
      <c r="E2585" s="5">
        <v>0</v>
      </c>
      <c r="F2585" s="5">
        <v>0</v>
      </c>
      <c r="G2585" s="5">
        <v>0</v>
      </c>
      <c r="H2585" s="4" t="s">
        <v>11</v>
      </c>
      <c r="I2585" s="5">
        <v>0</v>
      </c>
      <c r="J2585" s="4">
        <v>45916.295092592591</v>
      </c>
    </row>
    <row r="2586" spans="1:10" x14ac:dyDescent="0.2">
      <c r="A2586" s="2" t="s">
        <v>10</v>
      </c>
      <c r="B2586" s="3" t="str">
        <f t="shared" si="50"/>
        <v>France - HCP Survey Email - June 2025</v>
      </c>
      <c r="C2586" s="3" t="str">
        <f>HYPERLINK("https://otsuka-europe-crm.veevavault.com/ui/#object/sent_email__v/VBLZ025E82GNP5O", "SE-000274271")</f>
        <v>SE-000274271</v>
      </c>
      <c r="D2586" s="4" t="s">
        <v>11</v>
      </c>
      <c r="E2586" s="5">
        <v>0</v>
      </c>
      <c r="F2586" s="5">
        <v>0</v>
      </c>
      <c r="G2586" s="5">
        <v>0</v>
      </c>
      <c r="H2586" s="4" t="s">
        <v>11</v>
      </c>
      <c r="I2586" s="5">
        <v>0</v>
      </c>
      <c r="J2586" s="4">
        <v>45916.294363425928</v>
      </c>
    </row>
    <row r="2587" spans="1:10" x14ac:dyDescent="0.2">
      <c r="A2587" s="2" t="s">
        <v>10</v>
      </c>
      <c r="B2587" s="3" t="str">
        <f t="shared" si="50"/>
        <v>France - HCP Survey Email - June 2025</v>
      </c>
      <c r="C2587" s="3" t="str">
        <f>HYPERLINK("https://otsuka-europe-crm.veevavault.com/ui/#object/sent_email__v/VBLZ025E82GNP5P", "SE-000274272")</f>
        <v>SE-000274272</v>
      </c>
      <c r="D2587" s="4" t="s">
        <v>11</v>
      </c>
      <c r="E2587" s="5">
        <v>0</v>
      </c>
      <c r="F2587" s="5">
        <v>0</v>
      </c>
      <c r="G2587" s="5">
        <v>0</v>
      </c>
      <c r="H2587" s="4" t="s">
        <v>11</v>
      </c>
      <c r="I2587" s="5">
        <v>0</v>
      </c>
      <c r="J2587" s="4">
        <v>45916.294618055559</v>
      </c>
    </row>
    <row r="2588" spans="1:10" x14ac:dyDescent="0.2">
      <c r="A2588" s="2" t="s">
        <v>10</v>
      </c>
      <c r="B2588" s="3" t="str">
        <f t="shared" si="50"/>
        <v>France - HCP Survey Email - June 2025</v>
      </c>
      <c r="C2588" s="3" t="str">
        <f>HYPERLINK("https://otsuka-europe-crm.veevavault.com/ui/#object/sent_email__v/VBLZ025E82GNP5Q", "SE-000274273")</f>
        <v>SE-000274273</v>
      </c>
      <c r="D2588" s="4" t="s">
        <v>11</v>
      </c>
      <c r="E2588" s="5">
        <v>0</v>
      </c>
      <c r="F2588" s="5">
        <v>0</v>
      </c>
      <c r="G2588" s="5">
        <v>0</v>
      </c>
      <c r="H2588" s="4" t="s">
        <v>11</v>
      </c>
      <c r="I2588" s="5">
        <v>0</v>
      </c>
      <c r="J2588" s="4">
        <v>45916.294861111113</v>
      </c>
    </row>
    <row r="2589" spans="1:10" x14ac:dyDescent="0.2">
      <c r="A2589" s="2" t="s">
        <v>10</v>
      </c>
      <c r="B2589" s="3" t="str">
        <f t="shared" si="50"/>
        <v>France - HCP Survey Email - June 2025</v>
      </c>
      <c r="C2589" s="3" t="str">
        <f>HYPERLINK("https://otsuka-europe-crm.veevavault.com/ui/#object/sent_email__v/VBLZ025E82GNP5R", "SE-000274274")</f>
        <v>SE-000274274</v>
      </c>
      <c r="D2589" s="4" t="s">
        <v>11</v>
      </c>
      <c r="E2589" s="5">
        <v>0</v>
      </c>
      <c r="F2589" s="5">
        <v>0</v>
      </c>
      <c r="G2589" s="5">
        <v>0</v>
      </c>
      <c r="H2589" s="4" t="s">
        <v>11</v>
      </c>
      <c r="I2589" s="5">
        <v>0</v>
      </c>
      <c r="J2589" s="4">
        <v>45916.294224537036</v>
      </c>
    </row>
    <row r="2590" spans="1:10" x14ac:dyDescent="0.2">
      <c r="A2590" s="2" t="s">
        <v>10</v>
      </c>
      <c r="B2590" s="3" t="str">
        <f t="shared" si="50"/>
        <v>France - HCP Survey Email - June 2025</v>
      </c>
      <c r="C2590" s="3" t="str">
        <f>HYPERLINK("https://otsuka-europe-crm.veevavault.com/ui/#object/sent_email__v/VBLZ025E82GNP5S", "SE-000274275")</f>
        <v>SE-000274275</v>
      </c>
      <c r="D2590" s="4" t="s">
        <v>11</v>
      </c>
      <c r="E2590" s="5">
        <v>0</v>
      </c>
      <c r="F2590" s="5">
        <v>0</v>
      </c>
      <c r="G2590" s="5">
        <v>0</v>
      </c>
      <c r="H2590" s="4" t="s">
        <v>11</v>
      </c>
      <c r="I2590" s="5">
        <v>0</v>
      </c>
      <c r="J2590" s="4">
        <v>45916.29446759259</v>
      </c>
    </row>
    <row r="2591" spans="1:10" x14ac:dyDescent="0.2">
      <c r="A2591" s="2" t="s">
        <v>10</v>
      </c>
      <c r="B2591" s="3" t="str">
        <f t="shared" si="50"/>
        <v>France - HCP Survey Email - June 2025</v>
      </c>
      <c r="C2591" s="3" t="str">
        <f>HYPERLINK("https://otsuka-europe-crm.veevavault.com/ui/#object/sent_email__v/VBLZ025E82GNP5T", "SE-000274276")</f>
        <v>SE-000274276</v>
      </c>
      <c r="D2591" s="4" t="s">
        <v>11</v>
      </c>
      <c r="E2591" s="5">
        <v>0</v>
      </c>
      <c r="F2591" s="5">
        <v>0</v>
      </c>
      <c r="G2591" s="5">
        <v>0</v>
      </c>
      <c r="H2591" s="4" t="s">
        <v>11</v>
      </c>
      <c r="I2591" s="5">
        <v>0</v>
      </c>
      <c r="J2591" s="4">
        <v>45916.294675925928</v>
      </c>
    </row>
    <row r="2592" spans="1:10" x14ac:dyDescent="0.2">
      <c r="A2592" s="2" t="s">
        <v>10</v>
      </c>
      <c r="B2592" s="3" t="str">
        <f t="shared" si="50"/>
        <v>France - HCP Survey Email - June 2025</v>
      </c>
      <c r="C2592" s="3" t="str">
        <f>HYPERLINK("https://otsuka-europe-crm.veevavault.com/ui/#object/sent_email__v/VBLZ025E82GNP5U", "SE-000274277")</f>
        <v>SE-000274277</v>
      </c>
      <c r="D2592" s="4" t="s">
        <v>11</v>
      </c>
      <c r="E2592" s="5">
        <v>0</v>
      </c>
      <c r="F2592" s="5">
        <v>0</v>
      </c>
      <c r="G2592" s="5">
        <v>0</v>
      </c>
      <c r="H2592" s="4" t="s">
        <v>11</v>
      </c>
      <c r="I2592" s="5">
        <v>0</v>
      </c>
      <c r="J2592" s="4">
        <v>45916.294976851852</v>
      </c>
    </row>
    <row r="2593" spans="1:10" x14ac:dyDescent="0.2">
      <c r="A2593" s="2" t="s">
        <v>10</v>
      </c>
      <c r="B2593" s="3" t="str">
        <f t="shared" si="50"/>
        <v>France - HCP Survey Email - June 2025</v>
      </c>
      <c r="C2593" s="3" t="str">
        <f>HYPERLINK("https://otsuka-europe-crm.veevavault.com/ui/#object/sent_email__v/VBLZ025E82GNP5V", "SE-000274278")</f>
        <v>SE-000274278</v>
      </c>
      <c r="D2593" s="4" t="s">
        <v>11</v>
      </c>
      <c r="E2593" s="5">
        <v>0</v>
      </c>
      <c r="F2593" s="5">
        <v>0</v>
      </c>
      <c r="G2593" s="5">
        <v>0</v>
      </c>
      <c r="H2593" s="4" t="s">
        <v>11</v>
      </c>
      <c r="I2593" s="5">
        <v>0</v>
      </c>
      <c r="J2593" s="4">
        <v>45916.294259259259</v>
      </c>
    </row>
    <row r="2594" spans="1:10" x14ac:dyDescent="0.2">
      <c r="A2594" s="2" t="s">
        <v>10</v>
      </c>
      <c r="B2594" s="3" t="str">
        <f t="shared" si="50"/>
        <v>France - HCP Survey Email - June 2025</v>
      </c>
      <c r="C2594" s="3" t="str">
        <f>HYPERLINK("https://otsuka-europe-crm.veevavault.com/ui/#object/sent_email__v/VBLZ025E82GNP5W", "SE-000274279")</f>
        <v>SE-000274279</v>
      </c>
      <c r="D2594" s="4" t="s">
        <v>11</v>
      </c>
      <c r="E2594" s="5">
        <v>0</v>
      </c>
      <c r="F2594" s="5">
        <v>0</v>
      </c>
      <c r="G2594" s="5">
        <v>0</v>
      </c>
      <c r="H2594" s="4" t="s">
        <v>11</v>
      </c>
      <c r="I2594" s="5">
        <v>0</v>
      </c>
      <c r="J2594" s="4">
        <v>45916.294571759259</v>
      </c>
    </row>
    <row r="2595" spans="1:10" x14ac:dyDescent="0.2">
      <c r="A2595" s="2" t="s">
        <v>10</v>
      </c>
      <c r="B2595" s="3" t="str">
        <f t="shared" si="50"/>
        <v>France - HCP Survey Email - June 2025</v>
      </c>
      <c r="C2595" s="3" t="str">
        <f>HYPERLINK("https://otsuka-europe-crm.veevavault.com/ui/#object/sent_email__v/VBLZ025E82GNP5X", "SE-000274280")</f>
        <v>SE-000274280</v>
      </c>
      <c r="D2595" s="4" t="s">
        <v>11</v>
      </c>
      <c r="E2595" s="5">
        <v>0</v>
      </c>
      <c r="F2595" s="5">
        <v>0</v>
      </c>
      <c r="G2595" s="5">
        <v>0</v>
      </c>
      <c r="H2595" s="4" t="s">
        <v>11</v>
      </c>
      <c r="I2595" s="5">
        <v>0</v>
      </c>
      <c r="J2595" s="4">
        <v>45916.29478009259</v>
      </c>
    </row>
    <row r="2596" spans="1:10" x14ac:dyDescent="0.2">
      <c r="A2596" s="2" t="s">
        <v>10</v>
      </c>
      <c r="B2596" s="3" t="str">
        <f t="shared" si="50"/>
        <v>France - HCP Survey Email - June 2025</v>
      </c>
      <c r="C2596" s="3" t="str">
        <f>HYPERLINK("https://otsuka-europe-crm.veevavault.com/ui/#object/sent_email__v/VBLZ025E82GNP5Y", "SE-000274281")</f>
        <v>SE-000274281</v>
      </c>
      <c r="D2596" s="4" t="s">
        <v>11</v>
      </c>
      <c r="E2596" s="5">
        <v>0</v>
      </c>
      <c r="F2596" s="5">
        <v>0</v>
      </c>
      <c r="G2596" s="5">
        <v>0</v>
      </c>
      <c r="H2596" s="4" t="s">
        <v>11</v>
      </c>
      <c r="I2596" s="5">
        <v>0</v>
      </c>
      <c r="J2596" s="4">
        <v>45916.294270833336</v>
      </c>
    </row>
    <row r="2597" spans="1:10" x14ac:dyDescent="0.2">
      <c r="A2597" s="2" t="s">
        <v>10</v>
      </c>
      <c r="B2597" s="3" t="str">
        <f t="shared" si="50"/>
        <v>France - HCP Survey Email - June 2025</v>
      </c>
      <c r="C2597" s="3" t="str">
        <f>HYPERLINK("https://otsuka-europe-crm.veevavault.com/ui/#object/sent_email__v/VBLZ025E82GNP5Z", "SE-000274282")</f>
        <v>SE-000274282</v>
      </c>
      <c r="D2597" s="4" t="s">
        <v>11</v>
      </c>
      <c r="E2597" s="5">
        <v>0</v>
      </c>
      <c r="F2597" s="5">
        <v>0</v>
      </c>
      <c r="G2597" s="5">
        <v>0</v>
      </c>
      <c r="H2597" s="4" t="s">
        <v>11</v>
      </c>
      <c r="I2597" s="5">
        <v>0</v>
      </c>
      <c r="J2597" s="4">
        <v>45916.294317129628</v>
      </c>
    </row>
    <row r="2598" spans="1:10" x14ac:dyDescent="0.2">
      <c r="A2598" s="2" t="s">
        <v>10</v>
      </c>
      <c r="B2598" s="3" t="str">
        <f t="shared" si="50"/>
        <v>France - HCP Survey Email - June 2025</v>
      </c>
      <c r="C2598" s="3" t="str">
        <f>HYPERLINK("https://otsuka-europe-crm.veevavault.com/ui/#object/sent_email__v/VBLZ025E82GNP60", "SE-000274283")</f>
        <v>SE-000274283</v>
      </c>
      <c r="D2598" s="4" t="s">
        <v>11</v>
      </c>
      <c r="E2598" s="5">
        <v>0</v>
      </c>
      <c r="F2598" s="5">
        <v>0</v>
      </c>
      <c r="G2598" s="5">
        <v>0</v>
      </c>
      <c r="H2598" s="4" t="s">
        <v>11</v>
      </c>
      <c r="I2598" s="5">
        <v>0</v>
      </c>
      <c r="J2598" s="4">
        <v>45916.294618055559</v>
      </c>
    </row>
    <row r="2599" spans="1:10" x14ac:dyDescent="0.2">
      <c r="A2599" s="2" t="s">
        <v>10</v>
      </c>
      <c r="B2599" s="3" t="str">
        <f t="shared" si="50"/>
        <v>France - HCP Survey Email - June 2025</v>
      </c>
      <c r="C2599" s="3" t="str">
        <f>HYPERLINK("https://otsuka-europe-crm.veevavault.com/ui/#object/sent_email__v/VBLZ025E82GNP61", "SE-000274284")</f>
        <v>SE-000274284</v>
      </c>
      <c r="D2599" s="4" t="s">
        <v>11</v>
      </c>
      <c r="E2599" s="5">
        <v>0</v>
      </c>
      <c r="F2599" s="5">
        <v>0</v>
      </c>
      <c r="G2599" s="5">
        <v>0</v>
      </c>
      <c r="H2599" s="4" t="s">
        <v>11</v>
      </c>
      <c r="I2599" s="5">
        <v>0</v>
      </c>
      <c r="J2599" s="4">
        <v>45916.294814814813</v>
      </c>
    </row>
    <row r="2600" spans="1:10" x14ac:dyDescent="0.2">
      <c r="A2600" s="2" t="s">
        <v>10</v>
      </c>
      <c r="B2600" s="3" t="str">
        <f t="shared" si="50"/>
        <v>France - HCP Survey Email - June 2025</v>
      </c>
      <c r="C2600" s="3" t="str">
        <f>HYPERLINK("https://otsuka-europe-crm.veevavault.com/ui/#object/sent_email__v/VBLZ025E82GNP62", "SE-000274285")</f>
        <v>SE-000274285</v>
      </c>
      <c r="D2600" s="4" t="s">
        <v>11</v>
      </c>
      <c r="E2600" s="5">
        <v>0</v>
      </c>
      <c r="F2600" s="5">
        <v>0</v>
      </c>
      <c r="G2600" s="5">
        <v>0</v>
      </c>
      <c r="H2600" s="4" t="s">
        <v>11</v>
      </c>
      <c r="I2600" s="5">
        <v>0</v>
      </c>
      <c r="J2600" s="4">
        <v>45916.294247685182</v>
      </c>
    </row>
    <row r="2601" spans="1:10" x14ac:dyDescent="0.2">
      <c r="A2601" s="2" t="s">
        <v>10</v>
      </c>
      <c r="B2601" s="3" t="str">
        <f t="shared" si="50"/>
        <v>France - HCP Survey Email - June 2025</v>
      </c>
      <c r="C2601" s="3" t="str">
        <f>HYPERLINK("https://otsuka-europe-crm.veevavault.com/ui/#object/sent_email__v/VBLZ025E82GNP63", "SE-000274286")</f>
        <v>SE-000274286</v>
      </c>
      <c r="D2601" s="4" t="s">
        <v>11</v>
      </c>
      <c r="E2601" s="5">
        <v>0</v>
      </c>
      <c r="F2601" s="5">
        <v>0</v>
      </c>
      <c r="G2601" s="5">
        <v>0</v>
      </c>
      <c r="H2601" s="4" t="s">
        <v>11</v>
      </c>
      <c r="I2601" s="5">
        <v>0</v>
      </c>
      <c r="J2601" s="4">
        <v>45916.294456018521</v>
      </c>
    </row>
    <row r="2602" spans="1:10" x14ac:dyDescent="0.2">
      <c r="A2602" s="2" t="s">
        <v>10</v>
      </c>
      <c r="B2602" s="3" t="str">
        <f t="shared" si="50"/>
        <v>France - HCP Survey Email - June 2025</v>
      </c>
      <c r="C2602" s="3" t="str">
        <f>HYPERLINK("https://otsuka-europe-crm.veevavault.com/ui/#object/sent_email__v/VBLZ025E82GNP64", "SE-000274287")</f>
        <v>SE-000274287</v>
      </c>
      <c r="D2602" s="4" t="s">
        <v>11</v>
      </c>
      <c r="E2602" s="5">
        <v>0</v>
      </c>
      <c r="F2602" s="5">
        <v>0</v>
      </c>
      <c r="G2602" s="5">
        <v>0</v>
      </c>
      <c r="H2602" s="4" t="s">
        <v>11</v>
      </c>
      <c r="I2602" s="5">
        <v>0</v>
      </c>
      <c r="J2602" s="4">
        <v>45916.294745370367</v>
      </c>
    </row>
    <row r="2603" spans="1:10" x14ac:dyDescent="0.2">
      <c r="A2603" s="2" t="s">
        <v>10</v>
      </c>
      <c r="B2603" s="3" t="str">
        <f t="shared" si="50"/>
        <v>France - HCP Survey Email - June 2025</v>
      </c>
      <c r="C2603" s="3" t="str">
        <f>HYPERLINK("https://otsuka-europe-crm.veevavault.com/ui/#object/sent_email__v/VBLZ025E82GNP65", "SE-000274288")</f>
        <v>SE-000274288</v>
      </c>
      <c r="D2603" s="4" t="s">
        <v>11</v>
      </c>
      <c r="E2603" s="5">
        <v>0</v>
      </c>
      <c r="F2603" s="5">
        <v>0</v>
      </c>
      <c r="G2603" s="5">
        <v>0</v>
      </c>
      <c r="H2603" s="4" t="s">
        <v>11</v>
      </c>
      <c r="I2603" s="5">
        <v>0</v>
      </c>
      <c r="J2603" s="4">
        <v>45916.294918981483</v>
      </c>
    </row>
    <row r="2604" spans="1:10" x14ac:dyDescent="0.2">
      <c r="A2604" s="2" t="s">
        <v>10</v>
      </c>
      <c r="B2604" s="3" t="str">
        <f t="shared" si="50"/>
        <v>France - HCP Survey Email - June 2025</v>
      </c>
      <c r="C2604" s="3" t="str">
        <f>HYPERLINK("https://otsuka-europe-crm.veevavault.com/ui/#object/sent_email__v/VBLZ025E82GNP66", "SE-000274289")</f>
        <v>SE-000274289</v>
      </c>
      <c r="D2604" s="4" t="s">
        <v>11</v>
      </c>
      <c r="E2604" s="5">
        <v>0</v>
      </c>
      <c r="F2604" s="5">
        <v>0</v>
      </c>
      <c r="G2604" s="5">
        <v>0</v>
      </c>
      <c r="H2604" s="4" t="s">
        <v>11</v>
      </c>
      <c r="I2604" s="5">
        <v>0</v>
      </c>
      <c r="J2604" s="4">
        <v>45916.294328703705</v>
      </c>
    </row>
    <row r="2605" spans="1:10" x14ac:dyDescent="0.2">
      <c r="A2605" s="2" t="s">
        <v>10</v>
      </c>
      <c r="B2605" s="3" t="str">
        <f t="shared" si="50"/>
        <v>France - HCP Survey Email - June 2025</v>
      </c>
      <c r="C2605" s="3" t="str">
        <f>HYPERLINK("https://otsuka-europe-crm.veevavault.com/ui/#object/sent_email__v/VBLZ025E82GNP67", "SE-000274290")</f>
        <v>SE-000274290</v>
      </c>
      <c r="D2605" s="4" t="s">
        <v>11</v>
      </c>
      <c r="E2605" s="5">
        <v>0</v>
      </c>
      <c r="F2605" s="5">
        <v>0</v>
      </c>
      <c r="G2605" s="5">
        <v>0</v>
      </c>
      <c r="H2605" s="4" t="s">
        <v>11</v>
      </c>
      <c r="I2605" s="5">
        <v>0</v>
      </c>
      <c r="J2605" s="4">
        <v>45916.294537037036</v>
      </c>
    </row>
    <row r="2606" spans="1:10" x14ac:dyDescent="0.2">
      <c r="A2606" s="2" t="s">
        <v>10</v>
      </c>
      <c r="B2606" s="3" t="str">
        <f t="shared" si="50"/>
        <v>France - HCP Survey Email - June 2025</v>
      </c>
      <c r="C2606" s="3" t="str">
        <f>HYPERLINK("https://otsuka-europe-crm.veevavault.com/ui/#object/sent_email__v/VBLZ025E82GNP68", "SE-000274291")</f>
        <v>SE-000274291</v>
      </c>
      <c r="D2606" s="4" t="s">
        <v>11</v>
      </c>
      <c r="E2606" s="5">
        <v>0</v>
      </c>
      <c r="F2606" s="5">
        <v>0</v>
      </c>
      <c r="G2606" s="5">
        <v>0</v>
      </c>
      <c r="H2606" s="4" t="s">
        <v>11</v>
      </c>
      <c r="I2606" s="5">
        <v>0</v>
      </c>
      <c r="J2606" s="4">
        <v>45916.29483796296</v>
      </c>
    </row>
    <row r="2607" spans="1:10" x14ac:dyDescent="0.2">
      <c r="A2607" s="2" t="s">
        <v>10</v>
      </c>
      <c r="B2607" s="3" t="str">
        <f t="shared" si="50"/>
        <v>France - HCP Survey Email - June 2025</v>
      </c>
      <c r="C2607" s="3" t="str">
        <f>HYPERLINK("https://otsuka-europe-crm.veevavault.com/ui/#object/sent_email__v/VBLZ025E82GNP69", "SE-000274292")</f>
        <v>SE-000274292</v>
      </c>
      <c r="D2607" s="4">
        <v>45916.424629629626</v>
      </c>
      <c r="E2607" s="5">
        <v>1</v>
      </c>
      <c r="F2607" s="5">
        <v>2</v>
      </c>
      <c r="G2607" s="5">
        <v>0</v>
      </c>
      <c r="H2607" s="4" t="s">
        <v>11</v>
      </c>
      <c r="I2607" s="5">
        <v>0</v>
      </c>
      <c r="J2607" s="4">
        <v>45916.29420138889</v>
      </c>
    </row>
    <row r="2608" spans="1:10" x14ac:dyDescent="0.2">
      <c r="A2608" s="2" t="s">
        <v>10</v>
      </c>
      <c r="B2608" s="3" t="str">
        <f t="shared" si="50"/>
        <v>France - HCP Survey Email - June 2025</v>
      </c>
      <c r="C2608" s="3" t="str">
        <f>HYPERLINK("https://otsuka-europe-crm.veevavault.com/ui/#object/sent_email__v/VBLZ025E82GNP6A", "SE-000274293")</f>
        <v>SE-000274293</v>
      </c>
      <c r="D2608" s="4" t="s">
        <v>11</v>
      </c>
      <c r="E2608" s="5">
        <v>0</v>
      </c>
      <c r="F2608" s="5">
        <v>0</v>
      </c>
      <c r="G2608" s="5">
        <v>0</v>
      </c>
      <c r="H2608" s="4" t="s">
        <v>11</v>
      </c>
      <c r="I2608" s="5">
        <v>0</v>
      </c>
      <c r="J2608" s="4">
        <v>45916.294386574074</v>
      </c>
    </row>
    <row r="2609" spans="1:10" x14ac:dyDescent="0.2">
      <c r="A2609" s="2" t="s">
        <v>10</v>
      </c>
      <c r="B2609" s="3" t="str">
        <f t="shared" si="50"/>
        <v>France - HCP Survey Email - June 2025</v>
      </c>
      <c r="C2609" s="3" t="str">
        <f>HYPERLINK("https://otsuka-europe-crm.veevavault.com/ui/#object/sent_email__v/VBLZ025E82GNP6B", "SE-000274294")</f>
        <v>SE-000274294</v>
      </c>
      <c r="D2609" s="4" t="s">
        <v>11</v>
      </c>
      <c r="E2609" s="5">
        <v>0</v>
      </c>
      <c r="F2609" s="5">
        <v>0</v>
      </c>
      <c r="G2609" s="5">
        <v>0</v>
      </c>
      <c r="H2609" s="4" t="s">
        <v>11</v>
      </c>
      <c r="I2609" s="5">
        <v>0</v>
      </c>
      <c r="J2609" s="4">
        <v>45916.294583333336</v>
      </c>
    </row>
    <row r="2610" spans="1:10" x14ac:dyDescent="0.2">
      <c r="A2610" s="2" t="s">
        <v>10</v>
      </c>
      <c r="B2610" s="3" t="str">
        <f t="shared" si="50"/>
        <v>France - HCP Survey Email - June 2025</v>
      </c>
      <c r="C2610" s="3" t="str">
        <f>HYPERLINK("https://otsuka-europe-crm.veevavault.com/ui/#object/sent_email__v/VBLZ025E82GNP6C", "SE-000274295")</f>
        <v>SE-000274295</v>
      </c>
      <c r="D2610" s="4">
        <v>45916.665069444447</v>
      </c>
      <c r="E2610" s="5">
        <v>1</v>
      </c>
      <c r="F2610" s="5">
        <v>1</v>
      </c>
      <c r="G2610" s="5">
        <v>1</v>
      </c>
      <c r="H2610" s="4">
        <v>45916.665069444447</v>
      </c>
      <c r="I2610" s="5">
        <v>1</v>
      </c>
      <c r="J2610" s="4">
        <v>45916.294803240744</v>
      </c>
    </row>
    <row r="2611" spans="1:10" x14ac:dyDescent="0.2">
      <c r="A2611" s="2" t="s">
        <v>10</v>
      </c>
      <c r="B2611" s="3" t="str">
        <f t="shared" si="50"/>
        <v>France - HCP Survey Email - June 2025</v>
      </c>
      <c r="C2611" s="3" t="str">
        <f>HYPERLINK("https://otsuka-europe-crm.veevavault.com/ui/#object/sent_email__v/VBLZ025E82GNP6D", "SE-000274296")</f>
        <v>SE-000274296</v>
      </c>
      <c r="D2611" s="4" t="s">
        <v>11</v>
      </c>
      <c r="E2611" s="5">
        <v>0</v>
      </c>
      <c r="F2611" s="5">
        <v>0</v>
      </c>
      <c r="G2611" s="5">
        <v>0</v>
      </c>
      <c r="H2611" s="4" t="s">
        <v>11</v>
      </c>
      <c r="I2611" s="5">
        <v>0</v>
      </c>
      <c r="J2611" s="4">
        <v>45916.294212962966</v>
      </c>
    </row>
    <row r="2612" spans="1:10" x14ac:dyDescent="0.2">
      <c r="A2612" s="2" t="s">
        <v>10</v>
      </c>
      <c r="B2612" s="3" t="str">
        <f t="shared" si="50"/>
        <v>France - HCP Survey Email - June 2025</v>
      </c>
      <c r="C2612" s="3" t="str">
        <f>HYPERLINK("https://otsuka-europe-crm.veevavault.com/ui/#object/sent_email__v/VBLZ025E82GNP6E", "SE-000274297")</f>
        <v>SE-000274297</v>
      </c>
      <c r="D2612" s="4" t="s">
        <v>11</v>
      </c>
      <c r="E2612" s="5">
        <v>0</v>
      </c>
      <c r="F2612" s="5">
        <v>0</v>
      </c>
      <c r="G2612" s="5">
        <v>0</v>
      </c>
      <c r="H2612" s="4" t="s">
        <v>11</v>
      </c>
      <c r="I2612" s="5">
        <v>0</v>
      </c>
      <c r="J2612" s="4">
        <v>45916.294444444444</v>
      </c>
    </row>
    <row r="2613" spans="1:10" x14ac:dyDescent="0.2">
      <c r="A2613" s="2" t="s">
        <v>10</v>
      </c>
      <c r="B2613" s="3" t="str">
        <f t="shared" si="50"/>
        <v>France - HCP Survey Email - June 2025</v>
      </c>
      <c r="C2613" s="3" t="str">
        <f>HYPERLINK("https://otsuka-europe-crm.veevavault.com/ui/#object/sent_email__v/VBLZ025E82GNP6F", "SE-000274298")</f>
        <v>SE-000274298</v>
      </c>
      <c r="D2613" s="4" t="s">
        <v>11</v>
      </c>
      <c r="E2613" s="5">
        <v>0</v>
      </c>
      <c r="F2613" s="5">
        <v>0</v>
      </c>
      <c r="G2613" s="5">
        <v>0</v>
      </c>
      <c r="H2613" s="4" t="s">
        <v>11</v>
      </c>
      <c r="I2613" s="5">
        <v>0</v>
      </c>
      <c r="J2613" s="4">
        <v>45916.294664351852</v>
      </c>
    </row>
    <row r="2614" spans="1:10" x14ac:dyDescent="0.2">
      <c r="A2614" s="2" t="s">
        <v>10</v>
      </c>
      <c r="B2614" s="3" t="str">
        <f t="shared" si="50"/>
        <v>France - HCP Survey Email - June 2025</v>
      </c>
      <c r="C2614" s="3" t="str">
        <f>HYPERLINK("https://otsuka-europe-crm.veevavault.com/ui/#object/sent_email__v/VBLZ025E82GNP6G", "SE-000274299")</f>
        <v>SE-000274299</v>
      </c>
      <c r="D2614" s="4" t="s">
        <v>11</v>
      </c>
      <c r="E2614" s="5">
        <v>0</v>
      </c>
      <c r="F2614" s="5">
        <v>0</v>
      </c>
      <c r="G2614" s="5">
        <v>0</v>
      </c>
      <c r="H2614" s="4" t="s">
        <v>11</v>
      </c>
      <c r="I2614" s="5">
        <v>0</v>
      </c>
      <c r="J2614" s="4">
        <v>45916.294953703706</v>
      </c>
    </row>
    <row r="2615" spans="1:10" x14ac:dyDescent="0.2">
      <c r="A2615" s="2" t="s">
        <v>10</v>
      </c>
      <c r="B2615" s="3" t="str">
        <f t="shared" si="50"/>
        <v>France - HCP Survey Email - June 2025</v>
      </c>
      <c r="C2615" s="3" t="str">
        <f>HYPERLINK("https://otsuka-europe-crm.veevavault.com/ui/#object/sent_email__v/VBLZ025E82GNP6H", "SE-000274300")</f>
        <v>SE-000274300</v>
      </c>
      <c r="D2615" s="4">
        <v>45916.423449074071</v>
      </c>
      <c r="E2615" s="5">
        <v>1</v>
      </c>
      <c r="F2615" s="5">
        <v>2</v>
      </c>
      <c r="G2615" s="5">
        <v>1</v>
      </c>
      <c r="H2615" s="4">
        <v>45916.423449074071</v>
      </c>
      <c r="I2615" s="5">
        <v>2</v>
      </c>
      <c r="J2615" s="4">
        <v>45916.294340277775</v>
      </c>
    </row>
    <row r="2616" spans="1:10" x14ac:dyDescent="0.2">
      <c r="A2616" s="2" t="s">
        <v>10</v>
      </c>
      <c r="B2616" s="3" t="str">
        <f t="shared" si="50"/>
        <v>France - HCP Survey Email - June 2025</v>
      </c>
      <c r="C2616" s="3" t="str">
        <f>HYPERLINK("https://otsuka-europe-crm.veevavault.com/ui/#object/sent_email__v/VBLZ025E82GNP6I", "SE-000274301")</f>
        <v>SE-000274301</v>
      </c>
      <c r="D2616" s="4" t="s">
        <v>11</v>
      </c>
      <c r="E2616" s="5">
        <v>0</v>
      </c>
      <c r="F2616" s="5">
        <v>0</v>
      </c>
      <c r="G2616" s="5">
        <v>0</v>
      </c>
      <c r="H2616" s="4" t="s">
        <v>11</v>
      </c>
      <c r="I2616" s="5">
        <v>0</v>
      </c>
      <c r="J2616" s="4">
        <v>45916.294571759259</v>
      </c>
    </row>
    <row r="2617" spans="1:10" x14ac:dyDescent="0.2">
      <c r="A2617" s="2" t="s">
        <v>10</v>
      </c>
      <c r="B2617" s="3" t="str">
        <f t="shared" si="50"/>
        <v>France - HCP Survey Email - June 2025</v>
      </c>
      <c r="C2617" s="3" t="str">
        <f>HYPERLINK("https://otsuka-europe-crm.veevavault.com/ui/#object/sent_email__v/VBLZ025E82GNP6J", "SE-000274302")</f>
        <v>SE-000274302</v>
      </c>
      <c r="D2617" s="4" t="s">
        <v>11</v>
      </c>
      <c r="E2617" s="5">
        <v>0</v>
      </c>
      <c r="F2617" s="5">
        <v>0</v>
      </c>
      <c r="G2617" s="5">
        <v>0</v>
      </c>
      <c r="H2617" s="4" t="s">
        <v>11</v>
      </c>
      <c r="I2617" s="5">
        <v>0</v>
      </c>
      <c r="J2617" s="4">
        <v>45916.294733796298</v>
      </c>
    </row>
    <row r="2618" spans="1:10" x14ac:dyDescent="0.2">
      <c r="A2618" s="2" t="s">
        <v>10</v>
      </c>
      <c r="B2618" s="3" t="str">
        <f t="shared" si="50"/>
        <v>France - HCP Survey Email - June 2025</v>
      </c>
      <c r="C2618" s="3" t="str">
        <f>HYPERLINK("https://otsuka-europe-crm.veevavault.com/ui/#object/sent_email__v/VBLZ025E82GNP6K", "SE-000274303")</f>
        <v>SE-000274303</v>
      </c>
      <c r="D2618" s="4">
        <v>45916.469953703701</v>
      </c>
      <c r="E2618" s="5">
        <v>1</v>
      </c>
      <c r="F2618" s="5">
        <v>1</v>
      </c>
      <c r="G2618" s="5">
        <v>1</v>
      </c>
      <c r="H2618" s="4">
        <v>45916.470081018517</v>
      </c>
      <c r="I2618" s="5">
        <v>1</v>
      </c>
      <c r="J2618" s="4">
        <v>45916.294907407406</v>
      </c>
    </row>
    <row r="2619" spans="1:10" x14ac:dyDescent="0.2">
      <c r="A2619" s="2" t="s">
        <v>10</v>
      </c>
      <c r="B2619" s="3" t="str">
        <f t="shared" si="50"/>
        <v>France - HCP Survey Email - June 2025</v>
      </c>
      <c r="C2619" s="3" t="str">
        <f>HYPERLINK("https://otsuka-europe-crm.veevavault.com/ui/#object/sent_email__v/VBLZ025E82GNP6L", "SE-000274304")</f>
        <v>SE-000274304</v>
      </c>
      <c r="D2619" s="4">
        <v>45916.875775462962</v>
      </c>
      <c r="E2619" s="5">
        <v>1</v>
      </c>
      <c r="F2619" s="5">
        <v>1</v>
      </c>
      <c r="G2619" s="5">
        <v>1</v>
      </c>
      <c r="H2619" s="4">
        <v>45916.875914351855</v>
      </c>
      <c r="I2619" s="5">
        <v>2</v>
      </c>
      <c r="J2619" s="4">
        <v>45916.294305555559</v>
      </c>
    </row>
    <row r="2620" spans="1:10" x14ac:dyDescent="0.2">
      <c r="A2620" s="2" t="s">
        <v>10</v>
      </c>
      <c r="B2620" s="3" t="str">
        <f t="shared" si="50"/>
        <v>France - HCP Survey Email - June 2025</v>
      </c>
      <c r="C2620" s="3" t="str">
        <f>HYPERLINK("https://otsuka-europe-crm.veevavault.com/ui/#object/sent_email__v/VBLZ025E82GNP6M", "SE-000274305")</f>
        <v>SE-000274305</v>
      </c>
      <c r="D2620" s="4" t="s">
        <v>11</v>
      </c>
      <c r="E2620" s="5">
        <v>0</v>
      </c>
      <c r="F2620" s="5">
        <v>0</v>
      </c>
      <c r="G2620" s="5">
        <v>0</v>
      </c>
      <c r="H2620" s="4" t="s">
        <v>11</v>
      </c>
      <c r="I2620" s="5">
        <v>0</v>
      </c>
      <c r="J2620" s="4">
        <v>45916.294525462959</v>
      </c>
    </row>
    <row r="2621" spans="1:10" x14ac:dyDescent="0.2">
      <c r="A2621" s="2" t="s">
        <v>10</v>
      </c>
      <c r="B2621" s="3" t="str">
        <f t="shared" si="50"/>
        <v>France - HCP Survey Email - June 2025</v>
      </c>
      <c r="C2621" s="3" t="str">
        <f>HYPERLINK("https://otsuka-europe-crm.veevavault.com/ui/#object/sent_email__v/VBLZ025E82GNP6N", "SE-000274306")</f>
        <v>SE-000274306</v>
      </c>
      <c r="D2621" s="4" t="s">
        <v>11</v>
      </c>
      <c r="E2621" s="5">
        <v>0</v>
      </c>
      <c r="F2621" s="5">
        <v>0</v>
      </c>
      <c r="G2621" s="5">
        <v>0</v>
      </c>
      <c r="H2621" s="4" t="s">
        <v>11</v>
      </c>
      <c r="I2621" s="5">
        <v>0</v>
      </c>
      <c r="J2621" s="4">
        <v>45916.294768518521</v>
      </c>
    </row>
    <row r="2622" spans="1:10" x14ac:dyDescent="0.2">
      <c r="A2622" s="2" t="s">
        <v>10</v>
      </c>
      <c r="B2622" s="3" t="str">
        <f t="shared" si="50"/>
        <v>France - HCP Survey Email - June 2025</v>
      </c>
      <c r="C2622" s="3" t="str">
        <f>HYPERLINK("https://otsuka-europe-crm.veevavault.com/ui/#object/sent_email__v/VBLZ025E82GNP6O", "SE-000274307")</f>
        <v>SE-000274307</v>
      </c>
      <c r="D2622" s="4" t="s">
        <v>11</v>
      </c>
      <c r="E2622" s="5">
        <v>0</v>
      </c>
      <c r="F2622" s="5">
        <v>0</v>
      </c>
      <c r="G2622" s="5">
        <v>0</v>
      </c>
      <c r="H2622" s="4" t="s">
        <v>11</v>
      </c>
      <c r="I2622" s="5">
        <v>0</v>
      </c>
      <c r="J2622" s="4">
        <v>45916.294953703706</v>
      </c>
    </row>
    <row r="2623" spans="1:10" x14ac:dyDescent="0.2">
      <c r="A2623" s="2" t="s">
        <v>10</v>
      </c>
      <c r="B2623" s="3" t="str">
        <f t="shared" si="50"/>
        <v>France - HCP Survey Email - June 2025</v>
      </c>
      <c r="C2623" s="3" t="str">
        <f>HYPERLINK("https://otsuka-europe-crm.veevavault.com/ui/#object/sent_email__v/VBLZ025E82GNP6P", "SE-000274308")</f>
        <v>SE-000274308</v>
      </c>
      <c r="D2623" s="4" t="s">
        <v>11</v>
      </c>
      <c r="E2623" s="5">
        <v>0</v>
      </c>
      <c r="F2623" s="5">
        <v>0</v>
      </c>
      <c r="G2623" s="5">
        <v>0</v>
      </c>
      <c r="H2623" s="4" t="s">
        <v>11</v>
      </c>
      <c r="I2623" s="5">
        <v>0</v>
      </c>
      <c r="J2623" s="4">
        <v>45916.294305555559</v>
      </c>
    </row>
    <row r="2624" spans="1:10" x14ac:dyDescent="0.2">
      <c r="A2624" s="2" t="s">
        <v>10</v>
      </c>
      <c r="B2624" s="3" t="str">
        <f t="shared" si="50"/>
        <v>France - HCP Survey Email - June 2025</v>
      </c>
      <c r="C2624" s="3" t="str">
        <f>HYPERLINK("https://otsuka-europe-crm.veevavault.com/ui/#object/sent_email__v/VBLZ025E82GNP6Q", "SE-000274309")</f>
        <v>SE-000274309</v>
      </c>
      <c r="D2624" s="4" t="s">
        <v>11</v>
      </c>
      <c r="E2624" s="5">
        <v>0</v>
      </c>
      <c r="F2624" s="5">
        <v>0</v>
      </c>
      <c r="G2624" s="5">
        <v>0</v>
      </c>
      <c r="H2624" s="4" t="s">
        <v>11</v>
      </c>
      <c r="I2624" s="5">
        <v>0</v>
      </c>
      <c r="J2624" s="4">
        <v>45916.294629629629</v>
      </c>
    </row>
    <row r="2625" spans="1:10" x14ac:dyDescent="0.2">
      <c r="A2625" s="2" t="s">
        <v>10</v>
      </c>
      <c r="B2625" s="3" t="str">
        <f t="shared" ref="B2625:B2688" si="51">HYPERLINK("https://otsuka-europe-crm.veevavault.com/ui/#object/approved_document__v/V5OZ025E82TMV97", "France - HCP Survey Email - June 2025")</f>
        <v>France - HCP Survey Email - June 2025</v>
      </c>
      <c r="C2625" s="3" t="str">
        <f>HYPERLINK("https://otsuka-europe-crm.veevavault.com/ui/#object/sent_email__v/VBLZ025E82GNP6R", "SE-000274310")</f>
        <v>SE-000274310</v>
      </c>
      <c r="D2625" s="4" t="s">
        <v>11</v>
      </c>
      <c r="E2625" s="5">
        <v>0</v>
      </c>
      <c r="F2625" s="5">
        <v>0</v>
      </c>
      <c r="G2625" s="5">
        <v>0</v>
      </c>
      <c r="H2625" s="4" t="s">
        <v>11</v>
      </c>
      <c r="I2625" s="5">
        <v>0</v>
      </c>
      <c r="J2625" s="4">
        <v>45916.295011574075</v>
      </c>
    </row>
    <row r="2626" spans="1:10" x14ac:dyDescent="0.2">
      <c r="A2626" s="2" t="s">
        <v>10</v>
      </c>
      <c r="B2626" s="3" t="str">
        <f t="shared" si="51"/>
        <v>France - HCP Survey Email - June 2025</v>
      </c>
      <c r="C2626" s="3" t="str">
        <f>HYPERLINK("https://otsuka-europe-crm.veevavault.com/ui/#object/sent_email__v/VBLZ025E82GNP6S", "SE-000274311")</f>
        <v>SE-000274311</v>
      </c>
      <c r="D2626" s="4">
        <v>45916.426400462966</v>
      </c>
      <c r="E2626" s="5">
        <v>1</v>
      </c>
      <c r="F2626" s="5">
        <v>1</v>
      </c>
      <c r="G2626" s="5">
        <v>0</v>
      </c>
      <c r="H2626" s="4" t="s">
        <v>11</v>
      </c>
      <c r="I2626" s="5">
        <v>0</v>
      </c>
      <c r="J2626" s="4">
        <v>45916.294270833336</v>
      </c>
    </row>
    <row r="2627" spans="1:10" x14ac:dyDescent="0.2">
      <c r="A2627" s="2" t="s">
        <v>10</v>
      </c>
      <c r="B2627" s="3" t="str">
        <f t="shared" si="51"/>
        <v>France - HCP Survey Email - June 2025</v>
      </c>
      <c r="C2627" s="3" t="str">
        <f>HYPERLINK("https://otsuka-europe-crm.veevavault.com/ui/#object/sent_email__v/VBLZ025E82GNP6T", "SE-000274312")</f>
        <v>SE-000274312</v>
      </c>
      <c r="D2627" s="4" t="s">
        <v>11</v>
      </c>
      <c r="E2627" s="5">
        <v>0</v>
      </c>
      <c r="F2627" s="5">
        <v>0</v>
      </c>
      <c r="G2627" s="5">
        <v>0</v>
      </c>
      <c r="H2627" s="4" t="s">
        <v>11</v>
      </c>
      <c r="I2627" s="5">
        <v>0</v>
      </c>
      <c r="J2627" s="4">
        <v>45916.29446759259</v>
      </c>
    </row>
    <row r="2628" spans="1:10" x14ac:dyDescent="0.2">
      <c r="A2628" s="2" t="s">
        <v>10</v>
      </c>
      <c r="B2628" s="3" t="str">
        <f t="shared" si="51"/>
        <v>France - HCP Survey Email - June 2025</v>
      </c>
      <c r="C2628" s="3" t="str">
        <f>HYPERLINK("https://otsuka-europe-crm.veevavault.com/ui/#object/sent_email__v/VBLZ025E82GNP6U", "SE-000274313")</f>
        <v>SE-000274313</v>
      </c>
      <c r="D2628" s="4" t="s">
        <v>11</v>
      </c>
      <c r="E2628" s="5">
        <v>0</v>
      </c>
      <c r="F2628" s="5">
        <v>0</v>
      </c>
      <c r="G2628" s="5">
        <v>0</v>
      </c>
      <c r="H2628" s="4" t="s">
        <v>11</v>
      </c>
      <c r="I2628" s="5">
        <v>0</v>
      </c>
      <c r="J2628" s="4">
        <v>45916.294652777775</v>
      </c>
    </row>
    <row r="2629" spans="1:10" x14ac:dyDescent="0.2">
      <c r="A2629" s="2" t="s">
        <v>10</v>
      </c>
      <c r="B2629" s="3" t="str">
        <f t="shared" si="51"/>
        <v>France - HCP Survey Email - June 2025</v>
      </c>
      <c r="C2629" s="3" t="str">
        <f>HYPERLINK("https://otsuka-europe-crm.veevavault.com/ui/#object/sent_email__v/VBLZ025E82GNP6V", "SE-000274314")</f>
        <v>SE-000274314</v>
      </c>
      <c r="D2629" s="4" t="s">
        <v>11</v>
      </c>
      <c r="E2629" s="5">
        <v>0</v>
      </c>
      <c r="F2629" s="5">
        <v>0</v>
      </c>
      <c r="G2629" s="5">
        <v>0</v>
      </c>
      <c r="H2629" s="4" t="s">
        <v>11</v>
      </c>
      <c r="I2629" s="5">
        <v>0</v>
      </c>
      <c r="J2629" s="4">
        <v>45916.294942129629</v>
      </c>
    </row>
    <row r="2630" spans="1:10" x14ac:dyDescent="0.2">
      <c r="A2630" s="2" t="s">
        <v>10</v>
      </c>
      <c r="B2630" s="3" t="str">
        <f t="shared" si="51"/>
        <v>France - HCP Survey Email - June 2025</v>
      </c>
      <c r="C2630" s="3" t="str">
        <f>HYPERLINK("https://otsuka-europe-crm.veevavault.com/ui/#object/sent_email__v/VBLZ025E82GNP6W", "SE-000274315")</f>
        <v>SE-000274315</v>
      </c>
      <c r="D2630" s="4" t="s">
        <v>11</v>
      </c>
      <c r="E2630" s="5">
        <v>0</v>
      </c>
      <c r="F2630" s="5">
        <v>0</v>
      </c>
      <c r="G2630" s="5">
        <v>0</v>
      </c>
      <c r="H2630" s="4" t="s">
        <v>11</v>
      </c>
      <c r="I2630" s="5">
        <v>0</v>
      </c>
      <c r="J2630" s="4">
        <v>45916.294340277775</v>
      </c>
    </row>
    <row r="2631" spans="1:10" x14ac:dyDescent="0.2">
      <c r="A2631" s="2" t="s">
        <v>10</v>
      </c>
      <c r="B2631" s="3" t="str">
        <f t="shared" si="51"/>
        <v>France - HCP Survey Email - June 2025</v>
      </c>
      <c r="C2631" s="3" t="str">
        <f>HYPERLINK("https://otsuka-europe-crm.veevavault.com/ui/#object/sent_email__v/VBLZ025E82GNP6X", "SE-000274316")</f>
        <v>SE-000274316</v>
      </c>
      <c r="D2631" s="4">
        <v>45920.268020833333</v>
      </c>
      <c r="E2631" s="5">
        <v>1</v>
      </c>
      <c r="F2631" s="5">
        <v>2</v>
      </c>
      <c r="G2631" s="5">
        <v>1</v>
      </c>
      <c r="H2631" s="4">
        <v>45917.367106481484</v>
      </c>
      <c r="I2631" s="5">
        <v>1</v>
      </c>
      <c r="J2631" s="4">
        <v>45916.294594907406</v>
      </c>
    </row>
    <row r="2632" spans="1:10" x14ac:dyDescent="0.2">
      <c r="A2632" s="2" t="s">
        <v>10</v>
      </c>
      <c r="B2632" s="3" t="str">
        <f t="shared" si="51"/>
        <v>France - HCP Survey Email - June 2025</v>
      </c>
      <c r="C2632" s="3" t="str">
        <f>HYPERLINK("https://otsuka-europe-crm.veevavault.com/ui/#object/sent_email__v/VBLZ025E82GNP6Y", "SE-000274317")</f>
        <v>SE-000274317</v>
      </c>
      <c r="D2632" s="4" t="s">
        <v>11</v>
      </c>
      <c r="E2632" s="5">
        <v>0</v>
      </c>
      <c r="F2632" s="5">
        <v>0</v>
      </c>
      <c r="G2632" s="5">
        <v>0</v>
      </c>
      <c r="H2632" s="4" t="s">
        <v>11</v>
      </c>
      <c r="I2632" s="5">
        <v>0</v>
      </c>
      <c r="J2632" s="4">
        <v>45916.29483796296</v>
      </c>
    </row>
    <row r="2633" spans="1:10" x14ac:dyDescent="0.2">
      <c r="A2633" s="2" t="s">
        <v>10</v>
      </c>
      <c r="B2633" s="3" t="str">
        <f t="shared" si="51"/>
        <v>France - HCP Survey Email - June 2025</v>
      </c>
      <c r="C2633" s="3" t="str">
        <f>HYPERLINK("https://otsuka-europe-crm.veevavault.com/ui/#object/sent_email__v/VBLZ025E82GNP6Z", "SE-000274318")</f>
        <v>SE-000274318</v>
      </c>
      <c r="D2633" s="4" t="s">
        <v>11</v>
      </c>
      <c r="E2633" s="5">
        <v>0</v>
      </c>
      <c r="F2633" s="5">
        <v>0</v>
      </c>
      <c r="G2633" s="5">
        <v>0</v>
      </c>
      <c r="H2633" s="4" t="s">
        <v>11</v>
      </c>
      <c r="I2633" s="5">
        <v>0</v>
      </c>
      <c r="J2633" s="4">
        <v>45916.294212962966</v>
      </c>
    </row>
    <row r="2634" spans="1:10" x14ac:dyDescent="0.2">
      <c r="A2634" s="2" t="s">
        <v>10</v>
      </c>
      <c r="B2634" s="3" t="str">
        <f t="shared" si="51"/>
        <v>France - HCP Survey Email - June 2025</v>
      </c>
      <c r="C2634" s="3" t="str">
        <f>HYPERLINK("https://otsuka-europe-crm.veevavault.com/ui/#object/sent_email__v/VBLZ025E82GNP70", "SE-000274319")</f>
        <v>SE-000274319</v>
      </c>
      <c r="D2634" s="4">
        <v>45916.668935185182</v>
      </c>
      <c r="E2634" s="5">
        <v>1</v>
      </c>
      <c r="F2634" s="5">
        <v>1</v>
      </c>
      <c r="G2634" s="5">
        <v>0</v>
      </c>
      <c r="H2634" s="4" t="s">
        <v>11</v>
      </c>
      <c r="I2634" s="5">
        <v>0</v>
      </c>
      <c r="J2634" s="4">
        <v>45916.294363425928</v>
      </c>
    </row>
    <row r="2635" spans="1:10" x14ac:dyDescent="0.2">
      <c r="A2635" s="2" t="s">
        <v>10</v>
      </c>
      <c r="B2635" s="3" t="str">
        <f t="shared" si="51"/>
        <v>France - HCP Survey Email - June 2025</v>
      </c>
      <c r="C2635" s="3" t="str">
        <f>HYPERLINK("https://otsuka-europe-crm.veevavault.com/ui/#object/sent_email__v/VBLZ025E82GNP71", "SE-000274320")</f>
        <v>SE-000274320</v>
      </c>
      <c r="D2635" s="4">
        <v>45916.321296296293</v>
      </c>
      <c r="E2635" s="5">
        <v>1</v>
      </c>
      <c r="F2635" s="5">
        <v>2</v>
      </c>
      <c r="G2635" s="5">
        <v>0</v>
      </c>
      <c r="H2635" s="4" t="s">
        <v>11</v>
      </c>
      <c r="I2635" s="5">
        <v>0</v>
      </c>
      <c r="J2635" s="4">
        <v>45916.294641203705</v>
      </c>
    </row>
    <row r="2636" spans="1:10" x14ac:dyDescent="0.2">
      <c r="A2636" s="2" t="s">
        <v>10</v>
      </c>
      <c r="B2636" s="3" t="str">
        <f t="shared" si="51"/>
        <v>France - HCP Survey Email - June 2025</v>
      </c>
      <c r="C2636" s="3" t="str">
        <f>HYPERLINK("https://otsuka-europe-crm.veevavault.com/ui/#object/sent_email__v/VBLZ025E82GNP72", "SE-000274321")</f>
        <v>SE-000274321</v>
      </c>
      <c r="D2636" s="4" t="s">
        <v>11</v>
      </c>
      <c r="E2636" s="5">
        <v>0</v>
      </c>
      <c r="F2636" s="5">
        <v>0</v>
      </c>
      <c r="G2636" s="5">
        <v>0</v>
      </c>
      <c r="H2636" s="4" t="s">
        <v>11</v>
      </c>
      <c r="I2636" s="5">
        <v>0</v>
      </c>
      <c r="J2636" s="4">
        <v>45916.294930555552</v>
      </c>
    </row>
    <row r="2637" spans="1:10" x14ac:dyDescent="0.2">
      <c r="A2637" s="2" t="s">
        <v>10</v>
      </c>
      <c r="B2637" s="3" t="str">
        <f t="shared" si="51"/>
        <v>France - HCP Survey Email - June 2025</v>
      </c>
      <c r="C2637" s="3" t="str">
        <f>HYPERLINK("https://otsuka-europe-crm.veevavault.com/ui/#object/sent_email__v/VBLZ025E82GNP74", "SE-000274323")</f>
        <v>SE-000274323</v>
      </c>
      <c r="D2637" s="4" t="s">
        <v>11</v>
      </c>
      <c r="E2637" s="5">
        <v>0</v>
      </c>
      <c r="F2637" s="5">
        <v>0</v>
      </c>
      <c r="G2637" s="5">
        <v>0</v>
      </c>
      <c r="H2637" s="4" t="s">
        <v>11</v>
      </c>
      <c r="I2637" s="5">
        <v>0</v>
      </c>
      <c r="J2637" s="4">
        <v>45916.29451388889</v>
      </c>
    </row>
    <row r="2638" spans="1:10" x14ac:dyDescent="0.2">
      <c r="A2638" s="2" t="s">
        <v>10</v>
      </c>
      <c r="B2638" s="3" t="str">
        <f t="shared" si="51"/>
        <v>France - HCP Survey Email - June 2025</v>
      </c>
      <c r="C2638" s="3" t="str">
        <f>HYPERLINK("https://otsuka-europe-crm.veevavault.com/ui/#object/sent_email__v/VBLZ025E82GNP75", "SE-000274324")</f>
        <v>SE-000274324</v>
      </c>
      <c r="D2638" s="4" t="s">
        <v>11</v>
      </c>
      <c r="E2638" s="5">
        <v>0</v>
      </c>
      <c r="F2638" s="5">
        <v>0</v>
      </c>
      <c r="G2638" s="5">
        <v>0</v>
      </c>
      <c r="H2638" s="4" t="s">
        <v>11</v>
      </c>
      <c r="I2638" s="5">
        <v>0</v>
      </c>
      <c r="J2638" s="4">
        <v>45916.294652777775</v>
      </c>
    </row>
    <row r="2639" spans="1:10" x14ac:dyDescent="0.2">
      <c r="A2639" s="2" t="s">
        <v>10</v>
      </c>
      <c r="B2639" s="3" t="str">
        <f t="shared" si="51"/>
        <v>France - HCP Survey Email - June 2025</v>
      </c>
      <c r="C2639" s="3" t="str">
        <f>HYPERLINK("https://otsuka-europe-crm.veevavault.com/ui/#object/sent_email__v/VBLZ025E82GNP76", "SE-000274325")</f>
        <v>SE-000274325</v>
      </c>
      <c r="D2639" s="4" t="s">
        <v>11</v>
      </c>
      <c r="E2639" s="5">
        <v>0</v>
      </c>
      <c r="F2639" s="5">
        <v>0</v>
      </c>
      <c r="G2639" s="5">
        <v>0</v>
      </c>
      <c r="H2639" s="4" t="s">
        <v>11</v>
      </c>
      <c r="I2639" s="5">
        <v>0</v>
      </c>
      <c r="J2639" s="4">
        <v>45916.294965277775</v>
      </c>
    </row>
    <row r="2640" spans="1:10" x14ac:dyDescent="0.2">
      <c r="A2640" s="2" t="s">
        <v>10</v>
      </c>
      <c r="B2640" s="3" t="str">
        <f t="shared" si="51"/>
        <v>France - HCP Survey Email - June 2025</v>
      </c>
      <c r="C2640" s="3" t="str">
        <f>HYPERLINK("https://otsuka-europe-crm.veevavault.com/ui/#object/sent_email__v/VBLZ025E82GNP77", "SE-000274326")</f>
        <v>SE-000274326</v>
      </c>
      <c r="D2640" s="4">
        <v>45916.704548611109</v>
      </c>
      <c r="E2640" s="5">
        <v>1</v>
      </c>
      <c r="F2640" s="5">
        <v>3</v>
      </c>
      <c r="G2640" s="5">
        <v>0</v>
      </c>
      <c r="H2640" s="4" t="s">
        <v>11</v>
      </c>
      <c r="I2640" s="5">
        <v>0</v>
      </c>
      <c r="J2640" s="4">
        <v>45916.294374999998</v>
      </c>
    </row>
    <row r="2641" spans="1:10" x14ac:dyDescent="0.2">
      <c r="A2641" s="2" t="s">
        <v>10</v>
      </c>
      <c r="B2641" s="3" t="str">
        <f t="shared" si="51"/>
        <v>France - HCP Survey Email - June 2025</v>
      </c>
      <c r="C2641" s="3" t="str">
        <f>HYPERLINK("https://otsuka-europe-crm.veevavault.com/ui/#object/sent_email__v/VBLZ025E82GNP78", "SE-000274327")</f>
        <v>SE-000274327</v>
      </c>
      <c r="D2641" s="4" t="s">
        <v>11</v>
      </c>
      <c r="E2641" s="5">
        <v>0</v>
      </c>
      <c r="F2641" s="5">
        <v>0</v>
      </c>
      <c r="G2641" s="5">
        <v>0</v>
      </c>
      <c r="H2641" s="4" t="s">
        <v>11</v>
      </c>
      <c r="I2641" s="5">
        <v>0</v>
      </c>
      <c r="J2641" s="4">
        <v>45916.294502314813</v>
      </c>
    </row>
    <row r="2642" spans="1:10" x14ac:dyDescent="0.2">
      <c r="A2642" s="2" t="s">
        <v>10</v>
      </c>
      <c r="B2642" s="3" t="str">
        <f t="shared" si="51"/>
        <v>France - HCP Survey Email - June 2025</v>
      </c>
      <c r="C2642" s="3" t="str">
        <f>HYPERLINK("https://otsuka-europe-crm.veevavault.com/ui/#object/sent_email__v/VBLZ025E82GNP79", "SE-000274328")</f>
        <v>SE-000274328</v>
      </c>
      <c r="D2642" s="4" t="s">
        <v>11</v>
      </c>
      <c r="E2642" s="5">
        <v>0</v>
      </c>
      <c r="F2642" s="5">
        <v>0</v>
      </c>
      <c r="G2642" s="5">
        <v>0</v>
      </c>
      <c r="H2642" s="4" t="s">
        <v>11</v>
      </c>
      <c r="I2642" s="5">
        <v>0</v>
      </c>
      <c r="J2642" s="4">
        <v>45916.29482638889</v>
      </c>
    </row>
    <row r="2643" spans="1:10" x14ac:dyDescent="0.2">
      <c r="A2643" s="2" t="s">
        <v>10</v>
      </c>
      <c r="B2643" s="3" t="str">
        <f t="shared" si="51"/>
        <v>France - HCP Survey Email - June 2025</v>
      </c>
      <c r="C2643" s="3" t="str">
        <f>HYPERLINK("https://otsuka-europe-crm.veevavault.com/ui/#object/sent_email__v/VBLZ025E82GNP7A", "SE-000274329")</f>
        <v>SE-000274329</v>
      </c>
      <c r="D2643" s="4" t="s">
        <v>11</v>
      </c>
      <c r="E2643" s="5">
        <v>0</v>
      </c>
      <c r="F2643" s="5">
        <v>0</v>
      </c>
      <c r="G2643" s="5">
        <v>0</v>
      </c>
      <c r="H2643" s="4" t="s">
        <v>11</v>
      </c>
      <c r="I2643" s="5">
        <v>0</v>
      </c>
      <c r="J2643" s="4">
        <v>45916.294652777775</v>
      </c>
    </row>
    <row r="2644" spans="1:10" x14ac:dyDescent="0.2">
      <c r="A2644" s="2" t="s">
        <v>10</v>
      </c>
      <c r="B2644" s="3" t="str">
        <f t="shared" si="51"/>
        <v>France - HCP Survey Email - June 2025</v>
      </c>
      <c r="C2644" s="3" t="str">
        <f>HYPERLINK("https://otsuka-europe-crm.veevavault.com/ui/#object/sent_email__v/VBLZ025E82GNP7B", "SE-000274330")</f>
        <v>SE-000274330</v>
      </c>
      <c r="D2644" s="4" t="s">
        <v>11</v>
      </c>
      <c r="E2644" s="5">
        <v>0</v>
      </c>
      <c r="F2644" s="5">
        <v>0</v>
      </c>
      <c r="G2644" s="5">
        <v>0</v>
      </c>
      <c r="H2644" s="4" t="s">
        <v>11</v>
      </c>
      <c r="I2644" s="5">
        <v>0</v>
      </c>
      <c r="J2644" s="4">
        <v>45916.294953703706</v>
      </c>
    </row>
    <row r="2645" spans="1:10" x14ac:dyDescent="0.2">
      <c r="A2645" s="2" t="s">
        <v>10</v>
      </c>
      <c r="B2645" s="3" t="str">
        <f t="shared" si="51"/>
        <v>France - HCP Survey Email - June 2025</v>
      </c>
      <c r="C2645" s="3" t="str">
        <f>HYPERLINK("https://otsuka-europe-crm.veevavault.com/ui/#object/sent_email__v/VBLZ025E82GNP7C", "SE-000274331")</f>
        <v>SE-000274331</v>
      </c>
      <c r="D2645" s="4">
        <v>45916.29488425926</v>
      </c>
      <c r="E2645" s="5">
        <v>1</v>
      </c>
      <c r="F2645" s="5">
        <v>2</v>
      </c>
      <c r="G2645" s="5">
        <v>1</v>
      </c>
      <c r="H2645" s="4">
        <v>45916.29488425926</v>
      </c>
      <c r="I2645" s="5">
        <v>2</v>
      </c>
      <c r="J2645" s="4">
        <v>45916.294351851851</v>
      </c>
    </row>
    <row r="2646" spans="1:10" x14ac:dyDescent="0.2">
      <c r="A2646" s="2" t="s">
        <v>10</v>
      </c>
      <c r="B2646" s="3" t="str">
        <f t="shared" si="51"/>
        <v>France - HCP Survey Email - June 2025</v>
      </c>
      <c r="C2646" s="3" t="str">
        <f>HYPERLINK("https://otsuka-europe-crm.veevavault.com/ui/#object/sent_email__v/VBLZ025E82GNP7D", "SE-000274332")</f>
        <v>SE-000274332</v>
      </c>
      <c r="D2646" s="4" t="s">
        <v>11</v>
      </c>
      <c r="E2646" s="5">
        <v>0</v>
      </c>
      <c r="F2646" s="5">
        <v>0</v>
      </c>
      <c r="G2646" s="5">
        <v>0</v>
      </c>
      <c r="H2646" s="4" t="s">
        <v>11</v>
      </c>
      <c r="I2646" s="5">
        <v>0</v>
      </c>
      <c r="J2646" s="4">
        <v>45916.29451388889</v>
      </c>
    </row>
    <row r="2647" spans="1:10" x14ac:dyDescent="0.2">
      <c r="A2647" s="2" t="s">
        <v>10</v>
      </c>
      <c r="B2647" s="3" t="str">
        <f t="shared" si="51"/>
        <v>France - HCP Survey Email - June 2025</v>
      </c>
      <c r="C2647" s="3" t="str">
        <f>HYPERLINK("https://otsuka-europe-crm.veevavault.com/ui/#object/sent_email__v/VBLZ025E82GNP7E", "SE-000274333")</f>
        <v>SE-000274333</v>
      </c>
      <c r="D2647" s="4">
        <v>45916.610798611109</v>
      </c>
      <c r="E2647" s="5">
        <v>1</v>
      </c>
      <c r="F2647" s="5">
        <v>1</v>
      </c>
      <c r="G2647" s="5">
        <v>1</v>
      </c>
      <c r="H2647" s="4">
        <v>45916.611064814817</v>
      </c>
      <c r="I2647" s="5">
        <v>1</v>
      </c>
      <c r="J2647" s="4">
        <v>45916.294722222221</v>
      </c>
    </row>
    <row r="2648" spans="1:10" x14ac:dyDescent="0.2">
      <c r="A2648" s="2" t="s">
        <v>10</v>
      </c>
      <c r="B2648" s="3" t="str">
        <f t="shared" si="51"/>
        <v>France - HCP Survey Email - June 2025</v>
      </c>
      <c r="C2648" s="3" t="str">
        <f>HYPERLINK("https://otsuka-europe-crm.veevavault.com/ui/#object/sent_email__v/VBLZ025E82GNP7F", "SE-000274334")</f>
        <v>SE-000274334</v>
      </c>
      <c r="D2648" s="4">
        <v>45916.350474537037</v>
      </c>
      <c r="E2648" s="5">
        <v>1</v>
      </c>
      <c r="F2648" s="5">
        <v>1</v>
      </c>
      <c r="G2648" s="5">
        <v>0</v>
      </c>
      <c r="H2648" s="4" t="s">
        <v>11</v>
      </c>
      <c r="I2648" s="5">
        <v>0</v>
      </c>
      <c r="J2648" s="4">
        <v>45916.294259259259</v>
      </c>
    </row>
    <row r="2649" spans="1:10" x14ac:dyDescent="0.2">
      <c r="A2649" s="2" t="s">
        <v>10</v>
      </c>
      <c r="B2649" s="3" t="str">
        <f t="shared" si="51"/>
        <v>France - HCP Survey Email - June 2025</v>
      </c>
      <c r="C2649" s="3" t="str">
        <f>HYPERLINK("https://otsuka-europe-crm.veevavault.com/ui/#object/sent_email__v/VBLZ025E82GNP7G", "SE-000274335")</f>
        <v>SE-000274335</v>
      </c>
      <c r="D2649" s="4" t="s">
        <v>11</v>
      </c>
      <c r="E2649" s="5">
        <v>0</v>
      </c>
      <c r="F2649" s="5">
        <v>0</v>
      </c>
      <c r="G2649" s="5">
        <v>0</v>
      </c>
      <c r="H2649" s="4" t="s">
        <v>11</v>
      </c>
      <c r="I2649" s="5">
        <v>0</v>
      </c>
      <c r="J2649" s="4">
        <v>45916.294351851851</v>
      </c>
    </row>
    <row r="2650" spans="1:10" x14ac:dyDescent="0.2">
      <c r="A2650" s="2" t="s">
        <v>10</v>
      </c>
      <c r="B2650" s="3" t="str">
        <f t="shared" si="51"/>
        <v>France - HCP Survey Email - June 2025</v>
      </c>
      <c r="C2650" s="3" t="str">
        <f>HYPERLINK("https://otsuka-europe-crm.veevavault.com/ui/#object/sent_email__v/VBLZ025E82GNP7H", "SE-000274336")</f>
        <v>SE-000274336</v>
      </c>
      <c r="D2650" s="4" t="s">
        <v>11</v>
      </c>
      <c r="E2650" s="5">
        <v>0</v>
      </c>
      <c r="F2650" s="5">
        <v>0</v>
      </c>
      <c r="G2650" s="5">
        <v>0</v>
      </c>
      <c r="H2650" s="4" t="s">
        <v>11</v>
      </c>
      <c r="I2650" s="5">
        <v>0</v>
      </c>
      <c r="J2650" s="4">
        <v>45916.294652777775</v>
      </c>
    </row>
    <row r="2651" spans="1:10" x14ac:dyDescent="0.2">
      <c r="A2651" s="2" t="s">
        <v>10</v>
      </c>
      <c r="B2651" s="3" t="str">
        <f t="shared" si="51"/>
        <v>France - HCP Survey Email - June 2025</v>
      </c>
      <c r="C2651" s="3" t="str">
        <f>HYPERLINK("https://otsuka-europe-crm.veevavault.com/ui/#object/sent_email__v/VBLZ025E82GNP7I", "SE-000274337")</f>
        <v>SE-000274337</v>
      </c>
      <c r="D2651" s="4" t="s">
        <v>11</v>
      </c>
      <c r="E2651" s="5">
        <v>0</v>
      </c>
      <c r="F2651" s="5">
        <v>0</v>
      </c>
      <c r="G2651" s="5">
        <v>0</v>
      </c>
      <c r="H2651" s="4" t="s">
        <v>11</v>
      </c>
      <c r="I2651" s="5">
        <v>0</v>
      </c>
      <c r="J2651" s="4">
        <v>45916.294861111113</v>
      </c>
    </row>
    <row r="2652" spans="1:10" x14ac:dyDescent="0.2">
      <c r="A2652" s="2" t="s">
        <v>10</v>
      </c>
      <c r="B2652" s="3" t="str">
        <f t="shared" si="51"/>
        <v>France - HCP Survey Email - June 2025</v>
      </c>
      <c r="C2652" s="3" t="str">
        <f>HYPERLINK("https://otsuka-europe-crm.veevavault.com/ui/#object/sent_email__v/VBLZ025E82GNP7J", "SE-000274338")</f>
        <v>SE-000274338</v>
      </c>
      <c r="D2652" s="4" t="s">
        <v>11</v>
      </c>
      <c r="E2652" s="5">
        <v>0</v>
      </c>
      <c r="F2652" s="5">
        <v>0</v>
      </c>
      <c r="G2652" s="5">
        <v>0</v>
      </c>
      <c r="H2652" s="4" t="s">
        <v>11</v>
      </c>
      <c r="I2652" s="5">
        <v>0</v>
      </c>
      <c r="J2652" s="4">
        <v>45916.294224537036</v>
      </c>
    </row>
    <row r="2653" spans="1:10" x14ac:dyDescent="0.2">
      <c r="A2653" s="2" t="s">
        <v>10</v>
      </c>
      <c r="B2653" s="3" t="str">
        <f t="shared" si="51"/>
        <v>France - HCP Survey Email - June 2025</v>
      </c>
      <c r="C2653" s="3" t="str">
        <f>HYPERLINK("https://otsuka-europe-crm.veevavault.com/ui/#object/sent_email__v/VBLZ025E82GNP7K", "SE-000274339")</f>
        <v>SE-000274339</v>
      </c>
      <c r="D2653" s="4" t="s">
        <v>11</v>
      </c>
      <c r="E2653" s="5">
        <v>0</v>
      </c>
      <c r="F2653" s="5">
        <v>0</v>
      </c>
      <c r="G2653" s="5">
        <v>0</v>
      </c>
      <c r="H2653" s="4" t="s">
        <v>11</v>
      </c>
      <c r="I2653" s="5">
        <v>0</v>
      </c>
      <c r="J2653" s="4">
        <v>45916.29451388889</v>
      </c>
    </row>
    <row r="2654" spans="1:10" x14ac:dyDescent="0.2">
      <c r="A2654" s="2" t="s">
        <v>10</v>
      </c>
      <c r="B2654" s="3" t="str">
        <f t="shared" si="51"/>
        <v>France - HCP Survey Email - June 2025</v>
      </c>
      <c r="C2654" s="3" t="str">
        <f>HYPERLINK("https://otsuka-europe-crm.veevavault.com/ui/#object/sent_email__v/VBLZ025E82GNP7L", "SE-000274340")</f>
        <v>SE-000274340</v>
      </c>
      <c r="D2654" s="4" t="s">
        <v>11</v>
      </c>
      <c r="E2654" s="5">
        <v>0</v>
      </c>
      <c r="F2654" s="5">
        <v>0</v>
      </c>
      <c r="G2654" s="5">
        <v>0</v>
      </c>
      <c r="H2654" s="4" t="s">
        <v>11</v>
      </c>
      <c r="I2654" s="5">
        <v>0</v>
      </c>
      <c r="J2654" s="4">
        <v>45916.294664351852</v>
      </c>
    </row>
    <row r="2655" spans="1:10" x14ac:dyDescent="0.2">
      <c r="A2655" s="2" t="s">
        <v>10</v>
      </c>
      <c r="B2655" s="3" t="str">
        <f t="shared" si="51"/>
        <v>France - HCP Survey Email - June 2025</v>
      </c>
      <c r="C2655" s="3" t="str">
        <f>HYPERLINK("https://otsuka-europe-crm.veevavault.com/ui/#object/sent_email__v/VBLZ025E82GNP7M", "SE-000274341")</f>
        <v>SE-000274341</v>
      </c>
      <c r="D2655" s="4" t="s">
        <v>11</v>
      </c>
      <c r="E2655" s="5">
        <v>0</v>
      </c>
      <c r="F2655" s="5">
        <v>0</v>
      </c>
      <c r="G2655" s="5">
        <v>0</v>
      </c>
      <c r="H2655" s="4" t="s">
        <v>11</v>
      </c>
      <c r="I2655" s="5">
        <v>0</v>
      </c>
      <c r="J2655" s="4">
        <v>45916.294930555552</v>
      </c>
    </row>
    <row r="2656" spans="1:10" x14ac:dyDescent="0.2">
      <c r="A2656" s="2" t="s">
        <v>10</v>
      </c>
      <c r="B2656" s="3" t="str">
        <f t="shared" si="51"/>
        <v>France - HCP Survey Email - June 2025</v>
      </c>
      <c r="C2656" s="3" t="str">
        <f>HYPERLINK("https://otsuka-europe-crm.veevavault.com/ui/#object/sent_email__v/VBLZ025E82GNP7N", "SE-000274342")</f>
        <v>SE-000274342</v>
      </c>
      <c r="D2656" s="4">
        <v>45916.396412037036</v>
      </c>
      <c r="E2656" s="5">
        <v>1</v>
      </c>
      <c r="F2656" s="5">
        <v>1</v>
      </c>
      <c r="G2656" s="5">
        <v>1</v>
      </c>
      <c r="H2656" s="4">
        <v>45916.396412037036</v>
      </c>
      <c r="I2656" s="5">
        <v>1</v>
      </c>
      <c r="J2656" s="4">
        <v>45916.294282407405</v>
      </c>
    </row>
    <row r="2657" spans="1:10" x14ac:dyDescent="0.2">
      <c r="A2657" s="2" t="s">
        <v>10</v>
      </c>
      <c r="B2657" s="3" t="str">
        <f t="shared" si="51"/>
        <v>France - HCP Survey Email - June 2025</v>
      </c>
      <c r="C2657" s="3" t="str">
        <f>HYPERLINK("https://otsuka-europe-crm.veevavault.com/ui/#object/sent_email__v/VBLZ025E82GNP7O", "SE-000274343")</f>
        <v>SE-000274343</v>
      </c>
      <c r="D2657" s="4" t="s">
        <v>11</v>
      </c>
      <c r="E2657" s="5">
        <v>0</v>
      </c>
      <c r="F2657" s="5">
        <v>0</v>
      </c>
      <c r="G2657" s="5">
        <v>0</v>
      </c>
      <c r="H2657" s="4" t="s">
        <v>11</v>
      </c>
      <c r="I2657" s="5">
        <v>0</v>
      </c>
      <c r="J2657" s="4">
        <v>45916.294594907406</v>
      </c>
    </row>
    <row r="2658" spans="1:10" x14ac:dyDescent="0.2">
      <c r="A2658" s="2" t="s">
        <v>10</v>
      </c>
      <c r="B2658" s="3" t="str">
        <f t="shared" si="51"/>
        <v>France - HCP Survey Email - June 2025</v>
      </c>
      <c r="C2658" s="3" t="str">
        <f>HYPERLINK("https://otsuka-europe-crm.veevavault.com/ui/#object/sent_email__v/VBLZ025E82GNP7P", "SE-000274344")</f>
        <v>SE-000274344</v>
      </c>
      <c r="D2658" s="4" t="s">
        <v>11</v>
      </c>
      <c r="E2658" s="5">
        <v>0</v>
      </c>
      <c r="F2658" s="5">
        <v>0</v>
      </c>
      <c r="G2658" s="5">
        <v>0</v>
      </c>
      <c r="H2658" s="4" t="s">
        <v>11</v>
      </c>
      <c r="I2658" s="5">
        <v>0</v>
      </c>
      <c r="J2658" s="4">
        <v>45916.294872685183</v>
      </c>
    </row>
    <row r="2659" spans="1:10" x14ac:dyDescent="0.2">
      <c r="A2659" s="2" t="s">
        <v>10</v>
      </c>
      <c r="B2659" s="3" t="str">
        <f t="shared" si="51"/>
        <v>France - HCP Survey Email - June 2025</v>
      </c>
      <c r="C2659" s="3" t="str">
        <f>HYPERLINK("https://otsuka-europe-crm.veevavault.com/ui/#object/sent_email__v/VBLZ025E82GNP7R", "SE-000274346")</f>
        <v>SE-000274346</v>
      </c>
      <c r="D2659" s="4">
        <v>45916.294444444444</v>
      </c>
      <c r="E2659" s="5">
        <v>1</v>
      </c>
      <c r="F2659" s="5">
        <v>1</v>
      </c>
      <c r="G2659" s="5">
        <v>0</v>
      </c>
      <c r="H2659" s="4" t="s">
        <v>11</v>
      </c>
      <c r="I2659" s="5">
        <v>0</v>
      </c>
      <c r="J2659" s="4">
        <v>45916.294398148151</v>
      </c>
    </row>
    <row r="2660" spans="1:10" x14ac:dyDescent="0.2">
      <c r="A2660" s="2" t="s">
        <v>10</v>
      </c>
      <c r="B2660" s="3" t="str">
        <f t="shared" si="51"/>
        <v>France - HCP Survey Email - June 2025</v>
      </c>
      <c r="C2660" s="3" t="str">
        <f>HYPERLINK("https://otsuka-europe-crm.veevavault.com/ui/#object/sent_email__v/VBLZ025E82GNP7S", "SE-000274347")</f>
        <v>SE-000274347</v>
      </c>
      <c r="D2660" s="4" t="s">
        <v>11</v>
      </c>
      <c r="E2660" s="5">
        <v>0</v>
      </c>
      <c r="F2660" s="5">
        <v>0</v>
      </c>
      <c r="G2660" s="5">
        <v>0</v>
      </c>
      <c r="H2660" s="4" t="s">
        <v>11</v>
      </c>
      <c r="I2660" s="5">
        <v>0</v>
      </c>
      <c r="J2660" s="4">
        <v>45916.294594907406</v>
      </c>
    </row>
    <row r="2661" spans="1:10" x14ac:dyDescent="0.2">
      <c r="A2661" s="2" t="s">
        <v>10</v>
      </c>
      <c r="B2661" s="3" t="str">
        <f t="shared" si="51"/>
        <v>France - HCP Survey Email - June 2025</v>
      </c>
      <c r="C2661" s="3" t="str">
        <f>HYPERLINK("https://otsuka-europe-crm.veevavault.com/ui/#object/sent_email__v/VBLZ025E82GNP7T", "SE-000274348")</f>
        <v>SE-000274348</v>
      </c>
      <c r="D2661" s="4" t="s">
        <v>11</v>
      </c>
      <c r="E2661" s="5">
        <v>0</v>
      </c>
      <c r="F2661" s="5">
        <v>0</v>
      </c>
      <c r="G2661" s="5">
        <v>0</v>
      </c>
      <c r="H2661" s="4" t="s">
        <v>11</v>
      </c>
      <c r="I2661" s="5">
        <v>0</v>
      </c>
      <c r="J2661" s="4">
        <v>45916.294861111113</v>
      </c>
    </row>
    <row r="2662" spans="1:10" x14ac:dyDescent="0.2">
      <c r="A2662" s="2" t="s">
        <v>10</v>
      </c>
      <c r="B2662" s="3" t="str">
        <f t="shared" si="51"/>
        <v>France - HCP Survey Email - June 2025</v>
      </c>
      <c r="C2662" s="3" t="str">
        <f>HYPERLINK("https://otsuka-europe-crm.veevavault.com/ui/#object/sent_email__v/VBLZ025E82GNP7U", "SE-000274349")</f>
        <v>SE-000274349</v>
      </c>
      <c r="D2662" s="4">
        <v>45916.479317129626</v>
      </c>
      <c r="E2662" s="5">
        <v>1</v>
      </c>
      <c r="F2662" s="5">
        <v>1</v>
      </c>
      <c r="G2662" s="5">
        <v>0</v>
      </c>
      <c r="H2662" s="4" t="s">
        <v>11</v>
      </c>
      <c r="I2662" s="5">
        <v>0</v>
      </c>
      <c r="J2662" s="4">
        <v>45916.294282407405</v>
      </c>
    </row>
    <row r="2663" spans="1:10" x14ac:dyDescent="0.2">
      <c r="A2663" s="2" t="s">
        <v>10</v>
      </c>
      <c r="B2663" s="3" t="str">
        <f t="shared" si="51"/>
        <v>France - HCP Survey Email - June 2025</v>
      </c>
      <c r="C2663" s="3" t="str">
        <f>HYPERLINK("https://otsuka-europe-crm.veevavault.com/ui/#object/sent_email__v/VBLZ025E82GNP7V", "SE-000274350")</f>
        <v>SE-000274350</v>
      </c>
      <c r="D2663" s="4" t="s">
        <v>11</v>
      </c>
      <c r="E2663" s="5">
        <v>0</v>
      </c>
      <c r="F2663" s="5">
        <v>0</v>
      </c>
      <c r="G2663" s="5">
        <v>0</v>
      </c>
      <c r="H2663" s="4" t="s">
        <v>11</v>
      </c>
      <c r="I2663" s="5">
        <v>0</v>
      </c>
      <c r="J2663" s="4">
        <v>45916.294456018521</v>
      </c>
    </row>
    <row r="2664" spans="1:10" x14ac:dyDescent="0.2">
      <c r="A2664" s="2" t="s">
        <v>10</v>
      </c>
      <c r="B2664" s="3" t="str">
        <f t="shared" si="51"/>
        <v>France - HCP Survey Email - June 2025</v>
      </c>
      <c r="C2664" s="3" t="str">
        <f>HYPERLINK("https://otsuka-europe-crm.veevavault.com/ui/#object/sent_email__v/VBLZ025E82GNP7X", "SE-000274352")</f>
        <v>SE-000274352</v>
      </c>
      <c r="D2664" s="4" t="s">
        <v>11</v>
      </c>
      <c r="E2664" s="5">
        <v>0</v>
      </c>
      <c r="F2664" s="5">
        <v>0</v>
      </c>
      <c r="G2664" s="5">
        <v>0</v>
      </c>
      <c r="H2664" s="4" t="s">
        <v>11</v>
      </c>
      <c r="I2664" s="5">
        <v>0</v>
      </c>
      <c r="J2664" s="4">
        <v>45916.294988425929</v>
      </c>
    </row>
    <row r="2665" spans="1:10" x14ac:dyDescent="0.2">
      <c r="A2665" s="2" t="s">
        <v>10</v>
      </c>
      <c r="B2665" s="3" t="str">
        <f t="shared" si="51"/>
        <v>France - HCP Survey Email - June 2025</v>
      </c>
      <c r="C2665" s="3" t="str">
        <f>HYPERLINK("https://otsuka-europe-crm.veevavault.com/ui/#object/sent_email__v/VBLZ025E82GNP7Y", "SE-000274353")</f>
        <v>SE-000274353</v>
      </c>
      <c r="D2665" s="4" t="s">
        <v>11</v>
      </c>
      <c r="E2665" s="5">
        <v>0</v>
      </c>
      <c r="F2665" s="5">
        <v>0</v>
      </c>
      <c r="G2665" s="5">
        <v>0</v>
      </c>
      <c r="H2665" s="4" t="s">
        <v>11</v>
      </c>
      <c r="I2665" s="5">
        <v>0</v>
      </c>
      <c r="J2665" s="4">
        <v>45916.294351851851</v>
      </c>
    </row>
    <row r="2666" spans="1:10" x14ac:dyDescent="0.2">
      <c r="A2666" s="2" t="s">
        <v>10</v>
      </c>
      <c r="B2666" s="3" t="str">
        <f t="shared" si="51"/>
        <v>France - HCP Survey Email - June 2025</v>
      </c>
      <c r="C2666" s="3" t="str">
        <f>HYPERLINK("https://otsuka-europe-crm.veevavault.com/ui/#object/sent_email__v/VBLZ025E82GNP7Z", "SE-000274354")</f>
        <v>SE-000274354</v>
      </c>
      <c r="D2666" s="4" t="s">
        <v>11</v>
      </c>
      <c r="E2666" s="5">
        <v>0</v>
      </c>
      <c r="F2666" s="5">
        <v>0</v>
      </c>
      <c r="G2666" s="5">
        <v>0</v>
      </c>
      <c r="H2666" s="4" t="s">
        <v>11</v>
      </c>
      <c r="I2666" s="5">
        <v>0</v>
      </c>
      <c r="J2666" s="4">
        <v>45916.294641203705</v>
      </c>
    </row>
    <row r="2667" spans="1:10" x14ac:dyDescent="0.2">
      <c r="A2667" s="2" t="s">
        <v>10</v>
      </c>
      <c r="B2667" s="3" t="str">
        <f t="shared" si="51"/>
        <v>France - HCP Survey Email - June 2025</v>
      </c>
      <c r="C2667" s="3" t="str">
        <f>HYPERLINK("https://otsuka-europe-crm.veevavault.com/ui/#object/sent_email__v/VBLZ025E82GNP80", "SE-000274355")</f>
        <v>SE-000274355</v>
      </c>
      <c r="D2667" s="4">
        <v>45917.710486111115</v>
      </c>
      <c r="E2667" s="5">
        <v>1</v>
      </c>
      <c r="F2667" s="5">
        <v>4</v>
      </c>
      <c r="G2667" s="5">
        <v>0</v>
      </c>
      <c r="H2667" s="4" t="s">
        <v>11</v>
      </c>
      <c r="I2667" s="5">
        <v>0</v>
      </c>
      <c r="J2667" s="4">
        <v>45916.294814814813</v>
      </c>
    </row>
    <row r="2668" spans="1:10" x14ac:dyDescent="0.2">
      <c r="A2668" s="2" t="s">
        <v>10</v>
      </c>
      <c r="B2668" s="3" t="str">
        <f t="shared" si="51"/>
        <v>France - HCP Survey Email - June 2025</v>
      </c>
      <c r="C2668" s="3" t="str">
        <f>HYPERLINK("https://otsuka-europe-crm.veevavault.com/ui/#object/sent_email__v/VBLZ025E82GNP81", "SE-000274356")</f>
        <v>SE-000274356</v>
      </c>
      <c r="D2668" s="4">
        <v>45916.294236111113</v>
      </c>
      <c r="E2668" s="5">
        <v>1</v>
      </c>
      <c r="F2668" s="5">
        <v>1</v>
      </c>
      <c r="G2668" s="5">
        <v>1</v>
      </c>
      <c r="H2668" s="4">
        <v>45916.294236111113</v>
      </c>
      <c r="I2668" s="5">
        <v>1</v>
      </c>
      <c r="J2668" s="4">
        <v>45916.294212962966</v>
      </c>
    </row>
    <row r="2669" spans="1:10" x14ac:dyDescent="0.2">
      <c r="A2669" s="2" t="s">
        <v>10</v>
      </c>
      <c r="B2669" s="3" t="str">
        <f t="shared" si="51"/>
        <v>France - HCP Survey Email - June 2025</v>
      </c>
      <c r="C2669" s="3" t="str">
        <f>HYPERLINK("https://otsuka-europe-crm.veevavault.com/ui/#object/sent_email__v/VBLZ025E82GNP82", "SE-000274357")</f>
        <v>SE-000274357</v>
      </c>
      <c r="D2669" s="4" t="s">
        <v>11</v>
      </c>
      <c r="E2669" s="5">
        <v>0</v>
      </c>
      <c r="F2669" s="5">
        <v>0</v>
      </c>
      <c r="G2669" s="5">
        <v>0</v>
      </c>
      <c r="H2669" s="4" t="s">
        <v>11</v>
      </c>
      <c r="I2669" s="5">
        <v>0</v>
      </c>
      <c r="J2669" s="4">
        <v>45916.294317129628</v>
      </c>
    </row>
    <row r="2670" spans="1:10" x14ac:dyDescent="0.2">
      <c r="A2670" s="2" t="s">
        <v>10</v>
      </c>
      <c r="B2670" s="3" t="str">
        <f t="shared" si="51"/>
        <v>France - HCP Survey Email - June 2025</v>
      </c>
      <c r="C2670" s="3" t="str">
        <f>HYPERLINK("https://otsuka-europe-crm.veevavault.com/ui/#object/sent_email__v/VBLZ025E82GNP83", "SE-000274358")</f>
        <v>SE-000274358</v>
      </c>
      <c r="D2670" s="4" t="s">
        <v>11</v>
      </c>
      <c r="E2670" s="5">
        <v>0</v>
      </c>
      <c r="F2670" s="5">
        <v>0</v>
      </c>
      <c r="G2670" s="5">
        <v>0</v>
      </c>
      <c r="H2670" s="4" t="s">
        <v>11</v>
      </c>
      <c r="I2670" s="5">
        <v>0</v>
      </c>
      <c r="J2670" s="4">
        <v>45916.294641203705</v>
      </c>
    </row>
    <row r="2671" spans="1:10" x14ac:dyDescent="0.2">
      <c r="A2671" s="2" t="s">
        <v>10</v>
      </c>
      <c r="B2671" s="3" t="str">
        <f t="shared" si="51"/>
        <v>France - HCP Survey Email - June 2025</v>
      </c>
      <c r="C2671" s="3" t="str">
        <f>HYPERLINK("https://otsuka-europe-crm.veevavault.com/ui/#object/sent_email__v/VBLZ025E82GNP84", "SE-000274359")</f>
        <v>SE-000274359</v>
      </c>
      <c r="D2671" s="4">
        <v>45916.333541666667</v>
      </c>
      <c r="E2671" s="5">
        <v>1</v>
      </c>
      <c r="F2671" s="5">
        <v>1</v>
      </c>
      <c r="G2671" s="5">
        <v>0</v>
      </c>
      <c r="H2671" s="4" t="s">
        <v>11</v>
      </c>
      <c r="I2671" s="5">
        <v>0</v>
      </c>
      <c r="J2671" s="4">
        <v>45916.29483796296</v>
      </c>
    </row>
    <row r="2672" spans="1:10" x14ac:dyDescent="0.2">
      <c r="A2672" s="2" t="s">
        <v>10</v>
      </c>
      <c r="B2672" s="3" t="str">
        <f t="shared" si="51"/>
        <v>France - HCP Survey Email - June 2025</v>
      </c>
      <c r="C2672" s="3" t="str">
        <f>HYPERLINK("https://otsuka-europe-crm.veevavault.com/ui/#object/sent_email__v/VBLZ025E82GNP85", "SE-000274360")</f>
        <v>SE-000274360</v>
      </c>
      <c r="D2672" s="4" t="s">
        <v>11</v>
      </c>
      <c r="E2672" s="5">
        <v>0</v>
      </c>
      <c r="F2672" s="5">
        <v>0</v>
      </c>
      <c r="G2672" s="5">
        <v>0</v>
      </c>
      <c r="H2672" s="4" t="s">
        <v>11</v>
      </c>
      <c r="I2672" s="5">
        <v>0</v>
      </c>
      <c r="J2672" s="4">
        <v>45916.294282407405</v>
      </c>
    </row>
    <row r="2673" spans="1:10" x14ac:dyDescent="0.2">
      <c r="A2673" s="2" t="s">
        <v>10</v>
      </c>
      <c r="B2673" s="3" t="str">
        <f t="shared" si="51"/>
        <v>France - HCP Survey Email - June 2025</v>
      </c>
      <c r="C2673" s="3" t="str">
        <f>HYPERLINK("https://otsuka-europe-crm.veevavault.com/ui/#object/sent_email__v/VBLZ025E82GNP86", "SE-000274361")</f>
        <v>SE-000274361</v>
      </c>
      <c r="D2673" s="4" t="s">
        <v>11</v>
      </c>
      <c r="E2673" s="5">
        <v>0</v>
      </c>
      <c r="F2673" s="5">
        <v>0</v>
      </c>
      <c r="G2673" s="5">
        <v>0</v>
      </c>
      <c r="H2673" s="4" t="s">
        <v>11</v>
      </c>
      <c r="I2673" s="5">
        <v>0</v>
      </c>
      <c r="J2673" s="4">
        <v>45916.294432870367</v>
      </c>
    </row>
    <row r="2674" spans="1:10" x14ac:dyDescent="0.2">
      <c r="A2674" s="2" t="s">
        <v>10</v>
      </c>
      <c r="B2674" s="3" t="str">
        <f t="shared" si="51"/>
        <v>France - HCP Survey Email - June 2025</v>
      </c>
      <c r="C2674" s="3" t="str">
        <f>HYPERLINK("https://otsuka-europe-crm.veevavault.com/ui/#object/sent_email__v/VBLZ025E82GNP87", "SE-000274362")</f>
        <v>SE-000274362</v>
      </c>
      <c r="D2674" s="4" t="s">
        <v>11</v>
      </c>
      <c r="E2674" s="5">
        <v>0</v>
      </c>
      <c r="F2674" s="5">
        <v>0</v>
      </c>
      <c r="G2674" s="5">
        <v>0</v>
      </c>
      <c r="H2674" s="4" t="s">
        <v>11</v>
      </c>
      <c r="I2674" s="5">
        <v>0</v>
      </c>
      <c r="J2674" s="4">
        <v>45916.294641203705</v>
      </c>
    </row>
    <row r="2675" spans="1:10" x14ac:dyDescent="0.2">
      <c r="A2675" s="2" t="s">
        <v>10</v>
      </c>
      <c r="B2675" s="3" t="str">
        <f t="shared" si="51"/>
        <v>France - HCP Survey Email - June 2025</v>
      </c>
      <c r="C2675" s="3" t="str">
        <f>HYPERLINK("https://otsuka-europe-crm.veevavault.com/ui/#object/sent_email__v/VBLZ025E82GNP88", "SE-000274363")</f>
        <v>SE-000274363</v>
      </c>
      <c r="D2675" s="4" t="s">
        <v>11</v>
      </c>
      <c r="E2675" s="5">
        <v>0</v>
      </c>
      <c r="F2675" s="5">
        <v>0</v>
      </c>
      <c r="G2675" s="5">
        <v>0</v>
      </c>
      <c r="H2675" s="4" t="s">
        <v>11</v>
      </c>
      <c r="I2675" s="5">
        <v>0</v>
      </c>
      <c r="J2675" s="4">
        <v>45916.294930555552</v>
      </c>
    </row>
    <row r="2676" spans="1:10" x14ac:dyDescent="0.2">
      <c r="A2676" s="2" t="s">
        <v>10</v>
      </c>
      <c r="B2676" s="3" t="str">
        <f t="shared" si="51"/>
        <v>France - HCP Survey Email - June 2025</v>
      </c>
      <c r="C2676" s="3" t="str">
        <f>HYPERLINK("https://otsuka-europe-crm.veevavault.com/ui/#object/sent_email__v/VBLZ025E82GNP89", "SE-000274364")</f>
        <v>SE-000274364</v>
      </c>
      <c r="D2676" s="4" t="s">
        <v>11</v>
      </c>
      <c r="E2676" s="5">
        <v>0</v>
      </c>
      <c r="F2676" s="5">
        <v>0</v>
      </c>
      <c r="G2676" s="5">
        <v>0</v>
      </c>
      <c r="H2676" s="4" t="s">
        <v>11</v>
      </c>
      <c r="I2676" s="5">
        <v>0</v>
      </c>
      <c r="J2676" s="4">
        <v>45916.294340277775</v>
      </c>
    </row>
    <row r="2677" spans="1:10" x14ac:dyDescent="0.2">
      <c r="A2677" s="2" t="s">
        <v>10</v>
      </c>
      <c r="B2677" s="3" t="str">
        <f t="shared" si="51"/>
        <v>France - HCP Survey Email - June 2025</v>
      </c>
      <c r="C2677" s="3" t="str">
        <f>HYPERLINK("https://otsuka-europe-crm.veevavault.com/ui/#object/sent_email__v/VBLZ025E82GNP8A", "SE-000274365")</f>
        <v>SE-000274365</v>
      </c>
      <c r="D2677" s="4" t="s">
        <v>11</v>
      </c>
      <c r="E2677" s="5">
        <v>0</v>
      </c>
      <c r="F2677" s="5">
        <v>0</v>
      </c>
      <c r="G2677" s="5">
        <v>0</v>
      </c>
      <c r="H2677" s="4" t="s">
        <v>11</v>
      </c>
      <c r="I2677" s="5">
        <v>0</v>
      </c>
      <c r="J2677" s="4">
        <v>45916.294479166667</v>
      </c>
    </row>
    <row r="2678" spans="1:10" x14ac:dyDescent="0.2">
      <c r="A2678" s="2" t="s">
        <v>10</v>
      </c>
      <c r="B2678" s="3" t="str">
        <f t="shared" si="51"/>
        <v>France - HCP Survey Email - June 2025</v>
      </c>
      <c r="C2678" s="3" t="str">
        <f>HYPERLINK("https://otsuka-europe-crm.veevavault.com/ui/#object/sent_email__v/VBLZ025E82GNP8B", "SE-000274366")</f>
        <v>SE-000274366</v>
      </c>
      <c r="D2678" s="4">
        <v>45918.234351851854</v>
      </c>
      <c r="E2678" s="5">
        <v>1</v>
      </c>
      <c r="F2678" s="5">
        <v>2</v>
      </c>
      <c r="G2678" s="5">
        <v>0</v>
      </c>
      <c r="H2678" s="4" t="s">
        <v>11</v>
      </c>
      <c r="I2678" s="5">
        <v>0</v>
      </c>
      <c r="J2678" s="4">
        <v>45916.294675925928</v>
      </c>
    </row>
    <row r="2679" spans="1:10" x14ac:dyDescent="0.2">
      <c r="A2679" s="2" t="s">
        <v>10</v>
      </c>
      <c r="B2679" s="3" t="str">
        <f t="shared" si="51"/>
        <v>France - HCP Survey Email - June 2025</v>
      </c>
      <c r="C2679" s="3" t="str">
        <f>HYPERLINK("https://otsuka-europe-crm.veevavault.com/ui/#object/sent_email__v/VBLZ025E82GNP8C", "SE-000274367")</f>
        <v>SE-000274367</v>
      </c>
      <c r="D2679" s="4" t="s">
        <v>11</v>
      </c>
      <c r="E2679" s="5">
        <v>0</v>
      </c>
      <c r="F2679" s="5">
        <v>0</v>
      </c>
      <c r="G2679" s="5">
        <v>0</v>
      </c>
      <c r="H2679" s="4" t="s">
        <v>11</v>
      </c>
      <c r="I2679" s="5">
        <v>0</v>
      </c>
      <c r="J2679" s="4">
        <v>45916.294895833336</v>
      </c>
    </row>
    <row r="2680" spans="1:10" x14ac:dyDescent="0.2">
      <c r="A2680" s="2" t="s">
        <v>10</v>
      </c>
      <c r="B2680" s="3" t="str">
        <f t="shared" si="51"/>
        <v>France - HCP Survey Email - June 2025</v>
      </c>
      <c r="C2680" s="3" t="str">
        <f>HYPERLINK("https://otsuka-europe-crm.veevavault.com/ui/#object/sent_email__v/VBLZ025E82GNP8D", "SE-000274368")</f>
        <v>SE-000274368</v>
      </c>
      <c r="D2680" s="4">
        <v>45916.890462962961</v>
      </c>
      <c r="E2680" s="5">
        <v>1</v>
      </c>
      <c r="F2680" s="5">
        <v>1</v>
      </c>
      <c r="G2680" s="5">
        <v>0</v>
      </c>
      <c r="H2680" s="4" t="s">
        <v>11</v>
      </c>
      <c r="I2680" s="5">
        <v>0</v>
      </c>
      <c r="J2680" s="4">
        <v>45916.294351851851</v>
      </c>
    </row>
    <row r="2681" spans="1:10" x14ac:dyDescent="0.2">
      <c r="A2681" s="2" t="s">
        <v>10</v>
      </c>
      <c r="B2681" s="3" t="str">
        <f t="shared" si="51"/>
        <v>France - HCP Survey Email - June 2025</v>
      </c>
      <c r="C2681" s="3" t="str">
        <f>HYPERLINK("https://otsuka-europe-crm.veevavault.com/ui/#object/sent_email__v/VBLZ025E82GNP8E", "SE-000274369")</f>
        <v>SE-000274369</v>
      </c>
      <c r="D2681" s="4">
        <v>45916.748888888891</v>
      </c>
      <c r="E2681" s="5">
        <v>1</v>
      </c>
      <c r="F2681" s="5">
        <v>1</v>
      </c>
      <c r="G2681" s="5">
        <v>0</v>
      </c>
      <c r="H2681" s="4" t="s">
        <v>11</v>
      </c>
      <c r="I2681" s="5">
        <v>0</v>
      </c>
      <c r="J2681" s="4">
        <v>45916.294490740744</v>
      </c>
    </row>
    <row r="2682" spans="1:10" x14ac:dyDescent="0.2">
      <c r="A2682" s="2" t="s">
        <v>10</v>
      </c>
      <c r="B2682" s="3" t="str">
        <f t="shared" si="51"/>
        <v>France - HCP Survey Email - June 2025</v>
      </c>
      <c r="C2682" s="3" t="str">
        <f>HYPERLINK("https://otsuka-europe-crm.veevavault.com/ui/#object/sent_email__v/VBLZ025E82GNP8F", "SE-000274370")</f>
        <v>SE-000274370</v>
      </c>
      <c r="D2682" s="4" t="s">
        <v>11</v>
      </c>
      <c r="E2682" s="5">
        <v>0</v>
      </c>
      <c r="F2682" s="5">
        <v>0</v>
      </c>
      <c r="G2682" s="5">
        <v>0</v>
      </c>
      <c r="H2682" s="4" t="s">
        <v>11</v>
      </c>
      <c r="I2682" s="5">
        <v>0</v>
      </c>
      <c r="J2682" s="4">
        <v>45916.294745370367</v>
      </c>
    </row>
    <row r="2683" spans="1:10" x14ac:dyDescent="0.2">
      <c r="A2683" s="2" t="s">
        <v>10</v>
      </c>
      <c r="B2683" s="3" t="str">
        <f t="shared" si="51"/>
        <v>France - HCP Survey Email - June 2025</v>
      </c>
      <c r="C2683" s="3" t="str">
        <f>HYPERLINK("https://otsuka-europe-crm.veevavault.com/ui/#object/sent_email__v/VBLZ025E82GNP8G", "SE-000274371")</f>
        <v>SE-000274371</v>
      </c>
      <c r="D2683" s="4" t="s">
        <v>11</v>
      </c>
      <c r="E2683" s="5">
        <v>0</v>
      </c>
      <c r="F2683" s="5">
        <v>0</v>
      </c>
      <c r="G2683" s="5">
        <v>0</v>
      </c>
      <c r="H2683" s="4" t="s">
        <v>11</v>
      </c>
      <c r="I2683" s="5">
        <v>0</v>
      </c>
      <c r="J2683" s="4">
        <v>45916.294189814813</v>
      </c>
    </row>
    <row r="2684" spans="1:10" x14ac:dyDescent="0.2">
      <c r="A2684" s="2" t="s">
        <v>10</v>
      </c>
      <c r="B2684" s="3" t="str">
        <f t="shared" si="51"/>
        <v>France - HCP Survey Email - June 2025</v>
      </c>
      <c r="C2684" s="3" t="str">
        <f>HYPERLINK("https://otsuka-europe-crm.veevavault.com/ui/#object/sent_email__v/VBLZ025E82GNP8H", "SE-000274372")</f>
        <v>SE-000274372</v>
      </c>
      <c r="D2684" s="4" t="s">
        <v>11</v>
      </c>
      <c r="E2684" s="5">
        <v>0</v>
      </c>
      <c r="F2684" s="5">
        <v>0</v>
      </c>
      <c r="G2684" s="5">
        <v>0</v>
      </c>
      <c r="H2684" s="4" t="s">
        <v>11</v>
      </c>
      <c r="I2684" s="5">
        <v>0</v>
      </c>
      <c r="J2684" s="4">
        <v>45916.294444444444</v>
      </c>
    </row>
    <row r="2685" spans="1:10" x14ac:dyDescent="0.2">
      <c r="A2685" s="2" t="s">
        <v>10</v>
      </c>
      <c r="B2685" s="3" t="str">
        <f t="shared" si="51"/>
        <v>France - HCP Survey Email - June 2025</v>
      </c>
      <c r="C2685" s="3" t="str">
        <f>HYPERLINK("https://otsuka-europe-crm.veevavault.com/ui/#object/sent_email__v/VBLZ025E82GNP8I", "SE-000274373")</f>
        <v>SE-000274373</v>
      </c>
      <c r="D2685" s="4" t="s">
        <v>11</v>
      </c>
      <c r="E2685" s="5">
        <v>0</v>
      </c>
      <c r="F2685" s="5">
        <v>0</v>
      </c>
      <c r="G2685" s="5">
        <v>0</v>
      </c>
      <c r="H2685" s="4" t="s">
        <v>11</v>
      </c>
      <c r="I2685" s="5">
        <v>0</v>
      </c>
      <c r="J2685" s="4">
        <v>45916.294618055559</v>
      </c>
    </row>
    <row r="2686" spans="1:10" x14ac:dyDescent="0.2">
      <c r="A2686" s="2" t="s">
        <v>10</v>
      </c>
      <c r="B2686" s="3" t="str">
        <f t="shared" si="51"/>
        <v>France - HCP Survey Email - June 2025</v>
      </c>
      <c r="C2686" s="3" t="str">
        <f>HYPERLINK("https://otsuka-europe-crm.veevavault.com/ui/#object/sent_email__v/VBLZ025E82GNP8J", "SE-000274374")</f>
        <v>SE-000274374</v>
      </c>
      <c r="D2686" s="4" t="s">
        <v>11</v>
      </c>
      <c r="E2686" s="5">
        <v>0</v>
      </c>
      <c r="F2686" s="5">
        <v>0</v>
      </c>
      <c r="G2686" s="5">
        <v>0</v>
      </c>
      <c r="H2686" s="4" t="s">
        <v>11</v>
      </c>
      <c r="I2686" s="5">
        <v>0</v>
      </c>
      <c r="J2686" s="4">
        <v>45916.294918981483</v>
      </c>
    </row>
    <row r="2687" spans="1:10" x14ac:dyDescent="0.2">
      <c r="A2687" s="2" t="s">
        <v>10</v>
      </c>
      <c r="B2687" s="3" t="str">
        <f t="shared" si="51"/>
        <v>France - HCP Survey Email - June 2025</v>
      </c>
      <c r="C2687" s="3" t="str">
        <f>HYPERLINK("https://otsuka-europe-crm.veevavault.com/ui/#object/sent_email__v/VBLZ025E82GNP8K", "SE-000274375")</f>
        <v>SE-000274375</v>
      </c>
      <c r="D2687" s="4" t="s">
        <v>11</v>
      </c>
      <c r="E2687" s="5">
        <v>0</v>
      </c>
      <c r="F2687" s="5">
        <v>0</v>
      </c>
      <c r="G2687" s="5">
        <v>0</v>
      </c>
      <c r="H2687" s="4" t="s">
        <v>11</v>
      </c>
      <c r="I2687" s="5">
        <v>0</v>
      </c>
      <c r="J2687" s="4">
        <v>45916.294236111113</v>
      </c>
    </row>
    <row r="2688" spans="1:10" x14ac:dyDescent="0.2">
      <c r="A2688" s="2" t="s">
        <v>10</v>
      </c>
      <c r="B2688" s="3" t="str">
        <f t="shared" si="51"/>
        <v>France - HCP Survey Email - June 2025</v>
      </c>
      <c r="C2688" s="3" t="str">
        <f>HYPERLINK("https://otsuka-europe-crm.veevavault.com/ui/#object/sent_email__v/VBLZ025E82GNP8L", "SE-000274376")</f>
        <v>SE-000274376</v>
      </c>
      <c r="D2688" s="4">
        <v>45916.354814814818</v>
      </c>
      <c r="E2688" s="5">
        <v>1</v>
      </c>
      <c r="F2688" s="5">
        <v>1</v>
      </c>
      <c r="G2688" s="5">
        <v>0</v>
      </c>
      <c r="H2688" s="4" t="s">
        <v>11</v>
      </c>
      <c r="I2688" s="5">
        <v>0</v>
      </c>
      <c r="J2688" s="4">
        <v>45916.29446759259</v>
      </c>
    </row>
    <row r="2689" spans="1:10" x14ac:dyDescent="0.2">
      <c r="A2689" s="2" t="s">
        <v>10</v>
      </c>
      <c r="B2689" s="3" t="str">
        <f t="shared" ref="B2689:B2752" si="52">HYPERLINK("https://otsuka-europe-crm.veevavault.com/ui/#object/approved_document__v/V5OZ025E82TMV97", "France - HCP Survey Email - June 2025")</f>
        <v>France - HCP Survey Email - June 2025</v>
      </c>
      <c r="C2689" s="3" t="str">
        <f>HYPERLINK("https://otsuka-europe-crm.veevavault.com/ui/#object/sent_email__v/VBLZ025E82GNP8M", "SE-000274377")</f>
        <v>SE-000274377</v>
      </c>
      <c r="D2689" s="4">
        <v>45916.519618055558</v>
      </c>
      <c r="E2689" s="5">
        <v>1</v>
      </c>
      <c r="F2689" s="5">
        <v>1</v>
      </c>
      <c r="G2689" s="5">
        <v>0</v>
      </c>
      <c r="H2689" s="4" t="s">
        <v>11</v>
      </c>
      <c r="I2689" s="5">
        <v>0</v>
      </c>
      <c r="J2689" s="4">
        <v>45916.29478009259</v>
      </c>
    </row>
    <row r="2690" spans="1:10" x14ac:dyDescent="0.2">
      <c r="A2690" s="2" t="s">
        <v>10</v>
      </c>
      <c r="B2690" s="3" t="str">
        <f t="shared" si="52"/>
        <v>France - HCP Survey Email - June 2025</v>
      </c>
      <c r="C2690" s="3" t="str">
        <f>HYPERLINK("https://otsuka-europe-crm.veevavault.com/ui/#object/sent_email__v/VBLZ025E82GNP8N", "SE-000274378")</f>
        <v>SE-000274378</v>
      </c>
      <c r="D2690" s="4">
        <v>45917.363611111112</v>
      </c>
      <c r="E2690" s="5">
        <v>1</v>
      </c>
      <c r="F2690" s="5">
        <v>1</v>
      </c>
      <c r="G2690" s="5">
        <v>0</v>
      </c>
      <c r="H2690" s="4" t="s">
        <v>11</v>
      </c>
      <c r="I2690" s="5">
        <v>0</v>
      </c>
      <c r="J2690" s="4">
        <v>45916.298437500001</v>
      </c>
    </row>
    <row r="2691" spans="1:10" x14ac:dyDescent="0.2">
      <c r="A2691" s="2" t="s">
        <v>10</v>
      </c>
      <c r="B2691" s="3" t="str">
        <f t="shared" si="52"/>
        <v>France - HCP Survey Email - June 2025</v>
      </c>
      <c r="C2691" s="3" t="str">
        <f>HYPERLINK("https://otsuka-europe-crm.veevavault.com/ui/#object/sent_email__v/VBLZ025E82GNP8O", "SE-000274379")</f>
        <v>SE-000274379</v>
      </c>
      <c r="D2691" s="4">
        <v>45916.387881944444</v>
      </c>
      <c r="E2691" s="5">
        <v>1</v>
      </c>
      <c r="F2691" s="5">
        <v>2</v>
      </c>
      <c r="G2691" s="5">
        <v>0</v>
      </c>
      <c r="H2691" s="4" t="s">
        <v>11</v>
      </c>
      <c r="I2691" s="5">
        <v>0</v>
      </c>
      <c r="J2691" s="4">
        <v>45916.294374999998</v>
      </c>
    </row>
    <row r="2692" spans="1:10" x14ac:dyDescent="0.2">
      <c r="A2692" s="2" t="s">
        <v>10</v>
      </c>
      <c r="B2692" s="3" t="str">
        <f t="shared" si="52"/>
        <v>France - HCP Survey Email - June 2025</v>
      </c>
      <c r="C2692" s="3" t="str">
        <f>HYPERLINK("https://otsuka-europe-crm.veevavault.com/ui/#object/sent_email__v/VBLZ025E82GNP8P", "SE-000274380")</f>
        <v>SE-000274380</v>
      </c>
      <c r="D2692" s="4" t="s">
        <v>11</v>
      </c>
      <c r="E2692" s="5">
        <v>0</v>
      </c>
      <c r="F2692" s="5">
        <v>0</v>
      </c>
      <c r="G2692" s="5">
        <v>0</v>
      </c>
      <c r="H2692" s="4" t="s">
        <v>11</v>
      </c>
      <c r="I2692" s="5">
        <v>0</v>
      </c>
      <c r="J2692" s="4">
        <v>45916.294629629629</v>
      </c>
    </row>
    <row r="2693" spans="1:10" x14ac:dyDescent="0.2">
      <c r="A2693" s="2" t="s">
        <v>10</v>
      </c>
      <c r="B2693" s="3" t="str">
        <f t="shared" si="52"/>
        <v>France - HCP Survey Email - June 2025</v>
      </c>
      <c r="C2693" s="3" t="str">
        <f>HYPERLINK("https://otsuka-europe-crm.veevavault.com/ui/#object/sent_email__v/VBLZ025E82GNP8Q", "SE-000274381")</f>
        <v>SE-000274381</v>
      </c>
      <c r="D2693" s="4" t="s">
        <v>11</v>
      </c>
      <c r="E2693" s="5">
        <v>0</v>
      </c>
      <c r="F2693" s="5">
        <v>0</v>
      </c>
      <c r="G2693" s="5">
        <v>0</v>
      </c>
      <c r="H2693" s="4" t="s">
        <v>11</v>
      </c>
      <c r="I2693" s="5">
        <v>0</v>
      </c>
      <c r="J2693" s="4">
        <v>45916.294768518521</v>
      </c>
    </row>
    <row r="2694" spans="1:10" x14ac:dyDescent="0.2">
      <c r="A2694" s="2" t="s">
        <v>10</v>
      </c>
      <c r="B2694" s="3" t="str">
        <f t="shared" si="52"/>
        <v>France - HCP Survey Email - June 2025</v>
      </c>
      <c r="C2694" s="3" t="str">
        <f>HYPERLINK("https://otsuka-europe-crm.veevavault.com/ui/#object/sent_email__v/VBLZ025E82GNP8R", "SE-000274382")</f>
        <v>SE-000274382</v>
      </c>
      <c r="D2694" s="4" t="s">
        <v>11</v>
      </c>
      <c r="E2694" s="5">
        <v>0</v>
      </c>
      <c r="F2694" s="5">
        <v>0</v>
      </c>
      <c r="G2694" s="5">
        <v>0</v>
      </c>
      <c r="H2694" s="4" t="s">
        <v>11</v>
      </c>
      <c r="I2694" s="5">
        <v>0</v>
      </c>
      <c r="J2694" s="4">
        <v>45916.29420138889</v>
      </c>
    </row>
    <row r="2695" spans="1:10" x14ac:dyDescent="0.2">
      <c r="A2695" s="2" t="s">
        <v>10</v>
      </c>
      <c r="B2695" s="3" t="str">
        <f t="shared" si="52"/>
        <v>France - HCP Survey Email - June 2025</v>
      </c>
      <c r="C2695" s="3" t="str">
        <f>HYPERLINK("https://otsuka-europe-crm.veevavault.com/ui/#object/sent_email__v/VBLZ025E82GNP8S", "SE-000274383")</f>
        <v>SE-000274383</v>
      </c>
      <c r="D2695" s="4" t="s">
        <v>11</v>
      </c>
      <c r="E2695" s="5">
        <v>0</v>
      </c>
      <c r="F2695" s="5">
        <v>0</v>
      </c>
      <c r="G2695" s="5">
        <v>0</v>
      </c>
      <c r="H2695" s="4" t="s">
        <v>11</v>
      </c>
      <c r="I2695" s="5">
        <v>0</v>
      </c>
      <c r="J2695" s="4">
        <v>45916.294363425928</v>
      </c>
    </row>
    <row r="2696" spans="1:10" x14ac:dyDescent="0.2">
      <c r="A2696" s="2" t="s">
        <v>10</v>
      </c>
      <c r="B2696" s="3" t="str">
        <f t="shared" si="52"/>
        <v>France - HCP Survey Email - June 2025</v>
      </c>
      <c r="C2696" s="3" t="str">
        <f>HYPERLINK("https://otsuka-europe-crm.veevavault.com/ui/#object/sent_email__v/VBLZ025E82GNP8T", "SE-000274384")</f>
        <v>SE-000274384</v>
      </c>
      <c r="D2696" s="4">
        <v>45916.312800925924</v>
      </c>
      <c r="E2696" s="5">
        <v>1</v>
      </c>
      <c r="F2696" s="5">
        <v>1</v>
      </c>
      <c r="G2696" s="5">
        <v>0</v>
      </c>
      <c r="H2696" s="4" t="s">
        <v>11</v>
      </c>
      <c r="I2696" s="5">
        <v>0</v>
      </c>
      <c r="J2696" s="4">
        <v>45916.294606481482</v>
      </c>
    </row>
    <row r="2697" spans="1:10" x14ac:dyDescent="0.2">
      <c r="A2697" s="2" t="s">
        <v>10</v>
      </c>
      <c r="B2697" s="3" t="str">
        <f t="shared" si="52"/>
        <v>France - HCP Survey Email - June 2025</v>
      </c>
      <c r="C2697" s="3" t="str">
        <f>HYPERLINK("https://otsuka-europe-crm.veevavault.com/ui/#object/sent_email__v/VBLZ025E82GNP8U", "SE-000274385")</f>
        <v>SE-000274385</v>
      </c>
      <c r="D2697" s="4" t="s">
        <v>11</v>
      </c>
      <c r="E2697" s="5">
        <v>0</v>
      </c>
      <c r="F2697" s="5">
        <v>0</v>
      </c>
      <c r="G2697" s="5">
        <v>0</v>
      </c>
      <c r="H2697" s="4" t="s">
        <v>11</v>
      </c>
      <c r="I2697" s="5">
        <v>0</v>
      </c>
      <c r="J2697" s="4">
        <v>45916.294849537036</v>
      </c>
    </row>
    <row r="2698" spans="1:10" x14ac:dyDescent="0.2">
      <c r="A2698" s="2" t="s">
        <v>10</v>
      </c>
      <c r="B2698" s="3" t="str">
        <f t="shared" si="52"/>
        <v>France - HCP Survey Email - June 2025</v>
      </c>
      <c r="C2698" s="3" t="str">
        <f>HYPERLINK("https://otsuka-europe-crm.veevavault.com/ui/#object/sent_email__v/VBLZ025E82GNP8V", "SE-000274386")</f>
        <v>SE-000274386</v>
      </c>
      <c r="D2698" s="4">
        <v>46028.460057870368</v>
      </c>
      <c r="E2698" s="5">
        <v>1</v>
      </c>
      <c r="F2698" s="5">
        <v>6</v>
      </c>
      <c r="G2698" s="5">
        <v>0</v>
      </c>
      <c r="H2698" s="4" t="s">
        <v>11</v>
      </c>
      <c r="I2698" s="5">
        <v>0</v>
      </c>
      <c r="J2698" s="4">
        <v>45916.294293981482</v>
      </c>
    </row>
    <row r="2699" spans="1:10" x14ac:dyDescent="0.2">
      <c r="A2699" s="2" t="s">
        <v>10</v>
      </c>
      <c r="B2699" s="3" t="str">
        <f t="shared" si="52"/>
        <v>France - HCP Survey Email - June 2025</v>
      </c>
      <c r="C2699" s="3" t="str">
        <f>HYPERLINK("https://otsuka-europe-crm.veevavault.com/ui/#object/sent_email__v/VBLZ025E82GNP8W", "SE-000274387")</f>
        <v>SE-000274387</v>
      </c>
      <c r="D2699" s="4" t="s">
        <v>11</v>
      </c>
      <c r="E2699" s="5">
        <v>0</v>
      </c>
      <c r="F2699" s="5">
        <v>0</v>
      </c>
      <c r="G2699" s="5">
        <v>0</v>
      </c>
      <c r="H2699" s="4" t="s">
        <v>11</v>
      </c>
      <c r="I2699" s="5">
        <v>0</v>
      </c>
      <c r="J2699" s="4">
        <v>45916.294502314813</v>
      </c>
    </row>
    <row r="2700" spans="1:10" x14ac:dyDescent="0.2">
      <c r="A2700" s="2" t="s">
        <v>10</v>
      </c>
      <c r="B2700" s="3" t="str">
        <f t="shared" si="52"/>
        <v>France - HCP Survey Email - June 2025</v>
      </c>
      <c r="C2700" s="3" t="str">
        <f>HYPERLINK("https://otsuka-europe-crm.veevavault.com/ui/#object/sent_email__v/VBLZ025E82GNP8X", "SE-000274388")</f>
        <v>SE-000274388</v>
      </c>
      <c r="D2700" s="4">
        <v>45916.298611111109</v>
      </c>
      <c r="E2700" s="5">
        <v>1</v>
      </c>
      <c r="F2700" s="5">
        <v>1</v>
      </c>
      <c r="G2700" s="5">
        <v>0</v>
      </c>
      <c r="H2700" s="4" t="s">
        <v>11</v>
      </c>
      <c r="I2700" s="5">
        <v>0</v>
      </c>
      <c r="J2700" s="4">
        <v>45916.29478009259</v>
      </c>
    </row>
    <row r="2701" spans="1:10" x14ac:dyDescent="0.2">
      <c r="A2701" s="2" t="s">
        <v>10</v>
      </c>
      <c r="B2701" s="3" t="str">
        <f t="shared" si="52"/>
        <v>France - HCP Survey Email - June 2025</v>
      </c>
      <c r="C2701" s="3" t="str">
        <f>HYPERLINK("https://otsuka-europe-crm.veevavault.com/ui/#object/sent_email__v/VBLZ025E82GNP8Y", "SE-000274389")</f>
        <v>SE-000274389</v>
      </c>
      <c r="D2701" s="4">
        <v>45916.92391203704</v>
      </c>
      <c r="E2701" s="5">
        <v>1</v>
      </c>
      <c r="F2701" s="5">
        <v>1</v>
      </c>
      <c r="G2701" s="5">
        <v>0</v>
      </c>
      <c r="H2701" s="4" t="s">
        <v>11</v>
      </c>
      <c r="I2701" s="5">
        <v>0</v>
      </c>
      <c r="J2701" s="4">
        <v>45916.294918981483</v>
      </c>
    </row>
    <row r="2702" spans="1:10" x14ac:dyDescent="0.2">
      <c r="A2702" s="2" t="s">
        <v>10</v>
      </c>
      <c r="B2702" s="3" t="str">
        <f t="shared" si="52"/>
        <v>France - HCP Survey Email - June 2025</v>
      </c>
      <c r="C2702" s="3" t="str">
        <f>HYPERLINK("https://otsuka-europe-crm.veevavault.com/ui/#object/sent_email__v/VBLZ025E82GNP8Z", "SE-000274390")</f>
        <v>SE-000274390</v>
      </c>
      <c r="D2702" s="4">
        <v>45931.993726851855</v>
      </c>
      <c r="E2702" s="5">
        <v>1</v>
      </c>
      <c r="F2702" s="5">
        <v>4</v>
      </c>
      <c r="G2702" s="5">
        <v>1</v>
      </c>
      <c r="H2702" s="4">
        <v>45916.360578703701</v>
      </c>
      <c r="I2702" s="5">
        <v>1</v>
      </c>
      <c r="J2702" s="4">
        <v>45916.294351851851</v>
      </c>
    </row>
    <row r="2703" spans="1:10" x14ac:dyDescent="0.2">
      <c r="A2703" s="2" t="s">
        <v>10</v>
      </c>
      <c r="B2703" s="3" t="str">
        <f t="shared" si="52"/>
        <v>France - HCP Survey Email - June 2025</v>
      </c>
      <c r="C2703" s="3" t="str">
        <f>HYPERLINK("https://otsuka-europe-crm.veevavault.com/ui/#object/sent_email__v/VBLZ025E82GNP90", "SE-000274391")</f>
        <v>SE-000274391</v>
      </c>
      <c r="D2703" s="4" t="s">
        <v>11</v>
      </c>
      <c r="E2703" s="5">
        <v>0</v>
      </c>
      <c r="F2703" s="5">
        <v>0</v>
      </c>
      <c r="G2703" s="5">
        <v>0</v>
      </c>
      <c r="H2703" s="4" t="s">
        <v>11</v>
      </c>
      <c r="I2703" s="5">
        <v>0</v>
      </c>
      <c r="J2703" s="4">
        <v>45916.294224537036</v>
      </c>
    </row>
    <row r="2704" spans="1:10" x14ac:dyDescent="0.2">
      <c r="A2704" s="2" t="s">
        <v>10</v>
      </c>
      <c r="B2704" s="3" t="str">
        <f t="shared" si="52"/>
        <v>France - HCP Survey Email - June 2025</v>
      </c>
      <c r="C2704" s="3" t="str">
        <f>HYPERLINK("https://otsuka-europe-crm.veevavault.com/ui/#object/sent_email__v/VBLZ025E82GNP91", "SE-000274392")</f>
        <v>SE-000274392</v>
      </c>
      <c r="D2704" s="4">
        <v>45916.346875000003</v>
      </c>
      <c r="E2704" s="5">
        <v>1</v>
      </c>
      <c r="F2704" s="5">
        <v>2</v>
      </c>
      <c r="G2704" s="5">
        <v>0</v>
      </c>
      <c r="H2704" s="4" t="s">
        <v>11</v>
      </c>
      <c r="I2704" s="5">
        <v>0</v>
      </c>
      <c r="J2704" s="4">
        <v>45916.29446759259</v>
      </c>
    </row>
    <row r="2705" spans="1:10" x14ac:dyDescent="0.2">
      <c r="A2705" s="2" t="s">
        <v>10</v>
      </c>
      <c r="B2705" s="3" t="str">
        <f t="shared" si="52"/>
        <v>France - HCP Survey Email - June 2025</v>
      </c>
      <c r="C2705" s="3" t="str">
        <f>HYPERLINK("https://otsuka-europe-crm.veevavault.com/ui/#object/sent_email__v/VBLZ025E82GNP92", "SE-000274393")</f>
        <v>SE-000274393</v>
      </c>
      <c r="D2705" s="4" t="s">
        <v>11</v>
      </c>
      <c r="E2705" s="5">
        <v>0</v>
      </c>
      <c r="F2705" s="5">
        <v>0</v>
      </c>
      <c r="G2705" s="5">
        <v>0</v>
      </c>
      <c r="H2705" s="4" t="s">
        <v>11</v>
      </c>
      <c r="I2705" s="5">
        <v>0</v>
      </c>
      <c r="J2705" s="4">
        <v>45916.294722222221</v>
      </c>
    </row>
    <row r="2706" spans="1:10" x14ac:dyDescent="0.2">
      <c r="A2706" s="2" t="s">
        <v>10</v>
      </c>
      <c r="B2706" s="3" t="str">
        <f t="shared" si="52"/>
        <v>France - HCP Survey Email - June 2025</v>
      </c>
      <c r="C2706" s="3" t="str">
        <f>HYPERLINK("https://otsuka-europe-crm.veevavault.com/ui/#object/sent_email__v/VBLZ025E82GNP93", "SE-000274394")</f>
        <v>SE-000274394</v>
      </c>
      <c r="D2706" s="4" t="s">
        <v>11</v>
      </c>
      <c r="E2706" s="5">
        <v>0</v>
      </c>
      <c r="F2706" s="5">
        <v>0</v>
      </c>
      <c r="G2706" s="5">
        <v>0</v>
      </c>
      <c r="H2706" s="4" t="s">
        <v>11</v>
      </c>
      <c r="I2706" s="5">
        <v>0</v>
      </c>
      <c r="J2706" s="4">
        <v>45916.294953703706</v>
      </c>
    </row>
    <row r="2707" spans="1:10" x14ac:dyDescent="0.2">
      <c r="A2707" s="2" t="s">
        <v>10</v>
      </c>
      <c r="B2707" s="3" t="str">
        <f t="shared" si="52"/>
        <v>France - HCP Survey Email - June 2025</v>
      </c>
      <c r="C2707" s="3" t="str">
        <f>HYPERLINK("https://otsuka-europe-crm.veevavault.com/ui/#object/sent_email__v/VBLZ025E82GNP94", "SE-000274395")</f>
        <v>SE-000274395</v>
      </c>
      <c r="D2707" s="4">
        <v>45916.48364583333</v>
      </c>
      <c r="E2707" s="5">
        <v>1</v>
      </c>
      <c r="F2707" s="5">
        <v>1</v>
      </c>
      <c r="G2707" s="5">
        <v>0</v>
      </c>
      <c r="H2707" s="4" t="s">
        <v>11</v>
      </c>
      <c r="I2707" s="5">
        <v>0</v>
      </c>
      <c r="J2707" s="4">
        <v>45916.294351851851</v>
      </c>
    </row>
    <row r="2708" spans="1:10" x14ac:dyDescent="0.2">
      <c r="A2708" s="2" t="s">
        <v>10</v>
      </c>
      <c r="B2708" s="3" t="str">
        <f t="shared" si="52"/>
        <v>France - HCP Survey Email - June 2025</v>
      </c>
      <c r="C2708" s="3" t="str">
        <f>HYPERLINK("https://otsuka-europe-crm.veevavault.com/ui/#object/sent_email__v/VBLZ025E82GNP95", "SE-000274396")</f>
        <v>SE-000274396</v>
      </c>
      <c r="D2708" s="4" t="s">
        <v>11</v>
      </c>
      <c r="E2708" s="5">
        <v>0</v>
      </c>
      <c r="F2708" s="5">
        <v>0</v>
      </c>
      <c r="G2708" s="5">
        <v>0</v>
      </c>
      <c r="H2708" s="4" t="s">
        <v>11</v>
      </c>
      <c r="I2708" s="5">
        <v>0</v>
      </c>
      <c r="J2708" s="4">
        <v>45916.294548611113</v>
      </c>
    </row>
    <row r="2709" spans="1:10" x14ac:dyDescent="0.2">
      <c r="A2709" s="2" t="s">
        <v>10</v>
      </c>
      <c r="B2709" s="3" t="str">
        <f t="shared" si="52"/>
        <v>France - HCP Survey Email - June 2025</v>
      </c>
      <c r="C2709" s="3" t="str">
        <f>HYPERLINK("https://otsuka-europe-crm.veevavault.com/ui/#object/sent_email__v/VBLZ025E82GNP96", "SE-000274397")</f>
        <v>SE-000274397</v>
      </c>
      <c r="D2709" s="4" t="s">
        <v>11</v>
      </c>
      <c r="E2709" s="5">
        <v>0</v>
      </c>
      <c r="F2709" s="5">
        <v>0</v>
      </c>
      <c r="G2709" s="5">
        <v>0</v>
      </c>
      <c r="H2709" s="4" t="s">
        <v>11</v>
      </c>
      <c r="I2709" s="5">
        <v>0</v>
      </c>
      <c r="J2709" s="4">
        <v>45916.29482638889</v>
      </c>
    </row>
    <row r="2710" spans="1:10" x14ac:dyDescent="0.2">
      <c r="A2710" s="2" t="s">
        <v>10</v>
      </c>
      <c r="B2710" s="3" t="str">
        <f t="shared" si="52"/>
        <v>France - HCP Survey Email - June 2025</v>
      </c>
      <c r="C2710" s="3" t="str">
        <f>HYPERLINK("https://otsuka-europe-crm.veevavault.com/ui/#object/sent_email__v/VBLZ025E82GNP97", "SE-000274398")</f>
        <v>SE-000274398</v>
      </c>
      <c r="D2710" s="4">
        <v>45916.307349537034</v>
      </c>
      <c r="E2710" s="5">
        <v>1</v>
      </c>
      <c r="F2710" s="5">
        <v>2</v>
      </c>
      <c r="G2710" s="5">
        <v>0</v>
      </c>
      <c r="H2710" s="4" t="s">
        <v>11</v>
      </c>
      <c r="I2710" s="5">
        <v>0</v>
      </c>
      <c r="J2710" s="4">
        <v>45916.294270833336</v>
      </c>
    </row>
    <row r="2711" spans="1:10" x14ac:dyDescent="0.2">
      <c r="A2711" s="2" t="s">
        <v>10</v>
      </c>
      <c r="B2711" s="3" t="str">
        <f t="shared" si="52"/>
        <v>France - HCP Survey Email - June 2025</v>
      </c>
      <c r="C2711" s="3" t="str">
        <f>HYPERLINK("https://otsuka-europe-crm.veevavault.com/ui/#object/sent_email__v/VBLZ025E82GNP98", "SE-000274399")</f>
        <v>SE-000274399</v>
      </c>
      <c r="D2711" s="4" t="s">
        <v>11</v>
      </c>
      <c r="E2711" s="5">
        <v>0</v>
      </c>
      <c r="F2711" s="5">
        <v>0</v>
      </c>
      <c r="G2711" s="5">
        <v>0</v>
      </c>
      <c r="H2711" s="4" t="s">
        <v>11</v>
      </c>
      <c r="I2711" s="5">
        <v>0</v>
      </c>
      <c r="J2711" s="4">
        <v>45916.294386574074</v>
      </c>
    </row>
    <row r="2712" spans="1:10" x14ac:dyDescent="0.2">
      <c r="A2712" s="2" t="s">
        <v>10</v>
      </c>
      <c r="B2712" s="3" t="str">
        <f t="shared" si="52"/>
        <v>France - HCP Survey Email - June 2025</v>
      </c>
      <c r="C2712" s="3" t="str">
        <f>HYPERLINK("https://otsuka-europe-crm.veevavault.com/ui/#object/sent_email__v/VBLZ025E82GNP99", "SE-000274400")</f>
        <v>SE-000274400</v>
      </c>
      <c r="D2712" s="4" t="s">
        <v>11</v>
      </c>
      <c r="E2712" s="5">
        <v>0</v>
      </c>
      <c r="F2712" s="5">
        <v>0</v>
      </c>
      <c r="G2712" s="5">
        <v>0</v>
      </c>
      <c r="H2712" s="4" t="s">
        <v>11</v>
      </c>
      <c r="I2712" s="5">
        <v>0</v>
      </c>
      <c r="J2712" s="4">
        <v>45916.294699074075</v>
      </c>
    </row>
    <row r="2713" spans="1:10" x14ac:dyDescent="0.2">
      <c r="A2713" s="2" t="s">
        <v>10</v>
      </c>
      <c r="B2713" s="3" t="str">
        <f t="shared" si="52"/>
        <v>France - HCP Survey Email - June 2025</v>
      </c>
      <c r="C2713" s="3" t="str">
        <f>HYPERLINK("https://otsuka-europe-crm.veevavault.com/ui/#object/sent_email__v/VBLZ025E82GNP9A", "SE-000274401")</f>
        <v>SE-000274401</v>
      </c>
      <c r="D2713" s="4" t="s">
        <v>11</v>
      </c>
      <c r="E2713" s="5">
        <v>0</v>
      </c>
      <c r="F2713" s="5">
        <v>0</v>
      </c>
      <c r="G2713" s="5">
        <v>0</v>
      </c>
      <c r="H2713" s="4" t="s">
        <v>11</v>
      </c>
      <c r="I2713" s="5">
        <v>0</v>
      </c>
      <c r="J2713" s="4">
        <v>45916.29483796296</v>
      </c>
    </row>
    <row r="2714" spans="1:10" x14ac:dyDescent="0.2">
      <c r="A2714" s="2" t="s">
        <v>10</v>
      </c>
      <c r="B2714" s="3" t="str">
        <f t="shared" si="52"/>
        <v>France - HCP Survey Email - June 2025</v>
      </c>
      <c r="C2714" s="3" t="str">
        <f>HYPERLINK("https://otsuka-europe-crm.veevavault.com/ui/#object/sent_email__v/VBLZ025E82GNP9B", "SE-000274402")</f>
        <v>SE-000274402</v>
      </c>
      <c r="D2714" s="4" t="s">
        <v>11</v>
      </c>
      <c r="E2714" s="5">
        <v>0</v>
      </c>
      <c r="F2714" s="5">
        <v>0</v>
      </c>
      <c r="G2714" s="5">
        <v>0</v>
      </c>
      <c r="H2714" s="4" t="s">
        <v>11</v>
      </c>
      <c r="I2714" s="5">
        <v>0</v>
      </c>
      <c r="J2714" s="4">
        <v>45916.294317129628</v>
      </c>
    </row>
    <row r="2715" spans="1:10" x14ac:dyDescent="0.2">
      <c r="A2715" s="2" t="s">
        <v>10</v>
      </c>
      <c r="B2715" s="3" t="str">
        <f t="shared" si="52"/>
        <v>France - HCP Survey Email - June 2025</v>
      </c>
      <c r="C2715" s="3" t="str">
        <f>HYPERLINK("https://otsuka-europe-crm.veevavault.com/ui/#object/sent_email__v/VBLZ025E82GNP9C", "SE-000274403")</f>
        <v>SE-000274403</v>
      </c>
      <c r="D2715" s="4" t="s">
        <v>11</v>
      </c>
      <c r="E2715" s="5">
        <v>0</v>
      </c>
      <c r="F2715" s="5">
        <v>0</v>
      </c>
      <c r="G2715" s="5">
        <v>0</v>
      </c>
      <c r="H2715" s="4" t="s">
        <v>11</v>
      </c>
      <c r="I2715" s="5">
        <v>0</v>
      </c>
      <c r="J2715" s="4">
        <v>45916.294525462959</v>
      </c>
    </row>
    <row r="2716" spans="1:10" x14ac:dyDescent="0.2">
      <c r="A2716" s="2" t="s">
        <v>10</v>
      </c>
      <c r="B2716" s="3" t="str">
        <f t="shared" si="52"/>
        <v>France - HCP Survey Email - June 2025</v>
      </c>
      <c r="C2716" s="3" t="str">
        <f>HYPERLINK("https://otsuka-europe-crm.veevavault.com/ui/#object/sent_email__v/VBLZ025E82GNP9D", "SE-000274404")</f>
        <v>SE-000274404</v>
      </c>
      <c r="D2716" s="4" t="s">
        <v>11</v>
      </c>
      <c r="E2716" s="5">
        <v>0</v>
      </c>
      <c r="F2716" s="5">
        <v>0</v>
      </c>
      <c r="G2716" s="5">
        <v>0</v>
      </c>
      <c r="H2716" s="4" t="s">
        <v>11</v>
      </c>
      <c r="I2716" s="5">
        <v>0</v>
      </c>
      <c r="J2716" s="4">
        <v>45916.294687499998</v>
      </c>
    </row>
    <row r="2717" spans="1:10" x14ac:dyDescent="0.2">
      <c r="A2717" s="2" t="s">
        <v>10</v>
      </c>
      <c r="B2717" s="3" t="str">
        <f t="shared" si="52"/>
        <v>France - HCP Survey Email - June 2025</v>
      </c>
      <c r="C2717" s="3" t="str">
        <f>HYPERLINK("https://otsuka-europe-crm.veevavault.com/ui/#object/sent_email__v/VBLZ025E82GNP9E", "SE-000274405")</f>
        <v>SE-000274405</v>
      </c>
      <c r="D2717" s="4" t="s">
        <v>11</v>
      </c>
      <c r="E2717" s="5">
        <v>0</v>
      </c>
      <c r="F2717" s="5">
        <v>0</v>
      </c>
      <c r="G2717" s="5">
        <v>0</v>
      </c>
      <c r="H2717" s="4" t="s">
        <v>11</v>
      </c>
      <c r="I2717" s="5">
        <v>0</v>
      </c>
      <c r="J2717" s="4">
        <v>45916.295023148145</v>
      </c>
    </row>
    <row r="2718" spans="1:10" x14ac:dyDescent="0.2">
      <c r="A2718" s="2" t="s">
        <v>10</v>
      </c>
      <c r="B2718" s="3" t="str">
        <f t="shared" si="52"/>
        <v>France - HCP Survey Email - June 2025</v>
      </c>
      <c r="C2718" s="3" t="str">
        <f>HYPERLINK("https://otsuka-europe-crm.veevavault.com/ui/#object/sent_email__v/VBLZ025E82GNP9F", "SE-000274406")</f>
        <v>SE-000274406</v>
      </c>
      <c r="D2718" s="4" t="s">
        <v>11</v>
      </c>
      <c r="E2718" s="5">
        <v>0</v>
      </c>
      <c r="F2718" s="5">
        <v>0</v>
      </c>
      <c r="G2718" s="5">
        <v>0</v>
      </c>
      <c r="H2718" s="4" t="s">
        <v>11</v>
      </c>
      <c r="I2718" s="5">
        <v>0</v>
      </c>
      <c r="J2718" s="4">
        <v>45916.294305555559</v>
      </c>
    </row>
    <row r="2719" spans="1:10" x14ac:dyDescent="0.2">
      <c r="A2719" s="2" t="s">
        <v>10</v>
      </c>
      <c r="B2719" s="3" t="str">
        <f t="shared" si="52"/>
        <v>France - HCP Survey Email - June 2025</v>
      </c>
      <c r="C2719" s="3" t="str">
        <f>HYPERLINK("https://otsuka-europe-crm.veevavault.com/ui/#object/sent_email__v/VBLZ025E82GNP9G", "SE-000274407")</f>
        <v>SE-000274407</v>
      </c>
      <c r="D2719" s="4" t="s">
        <v>11</v>
      </c>
      <c r="E2719" s="5">
        <v>0</v>
      </c>
      <c r="F2719" s="5">
        <v>0</v>
      </c>
      <c r="G2719" s="5">
        <v>0</v>
      </c>
      <c r="H2719" s="4" t="s">
        <v>11</v>
      </c>
      <c r="I2719" s="5">
        <v>0</v>
      </c>
      <c r="J2719" s="4">
        <v>45916.294525462959</v>
      </c>
    </row>
    <row r="2720" spans="1:10" x14ac:dyDescent="0.2">
      <c r="A2720" s="2" t="s">
        <v>10</v>
      </c>
      <c r="B2720" s="3" t="str">
        <f t="shared" si="52"/>
        <v>France - HCP Survey Email - June 2025</v>
      </c>
      <c r="C2720" s="3" t="str">
        <f>HYPERLINK("https://otsuka-europe-crm.veevavault.com/ui/#object/sent_email__v/VBLZ025E82GNP9H", "SE-000274408")</f>
        <v>SE-000274408</v>
      </c>
      <c r="D2720" s="4" t="s">
        <v>11</v>
      </c>
      <c r="E2720" s="5">
        <v>0</v>
      </c>
      <c r="F2720" s="5">
        <v>0</v>
      </c>
      <c r="G2720" s="5">
        <v>0</v>
      </c>
      <c r="H2720" s="4" t="s">
        <v>11</v>
      </c>
      <c r="I2720" s="5">
        <v>0</v>
      </c>
      <c r="J2720" s="4">
        <v>45916.29482638889</v>
      </c>
    </row>
    <row r="2721" spans="1:10" x14ac:dyDescent="0.2">
      <c r="A2721" s="2" t="s">
        <v>10</v>
      </c>
      <c r="B2721" s="3" t="str">
        <f t="shared" si="52"/>
        <v>France - HCP Survey Email - June 2025</v>
      </c>
      <c r="C2721" s="3" t="str">
        <f>HYPERLINK("https://otsuka-europe-crm.veevavault.com/ui/#object/sent_email__v/VBLZ025E82GNP9I", "SE-000274409")</f>
        <v>SE-000274409</v>
      </c>
      <c r="D2721" s="4">
        <v>45916.811944444446</v>
      </c>
      <c r="E2721" s="5">
        <v>1</v>
      </c>
      <c r="F2721" s="5">
        <v>4</v>
      </c>
      <c r="G2721" s="5">
        <v>0</v>
      </c>
      <c r="H2721" s="4" t="s">
        <v>11</v>
      </c>
      <c r="I2721" s="5">
        <v>0</v>
      </c>
      <c r="J2721" s="4">
        <v>45916.294212962966</v>
      </c>
    </row>
    <row r="2722" spans="1:10" x14ac:dyDescent="0.2">
      <c r="A2722" s="2" t="s">
        <v>10</v>
      </c>
      <c r="B2722" s="3" t="str">
        <f t="shared" si="52"/>
        <v>France - HCP Survey Email - June 2025</v>
      </c>
      <c r="C2722" s="3" t="str">
        <f>HYPERLINK("https://otsuka-europe-crm.veevavault.com/ui/#object/sent_email__v/VBLZ025E82GNP9J", "SE-000274410")</f>
        <v>SE-000274410</v>
      </c>
      <c r="D2722" s="4" t="s">
        <v>11</v>
      </c>
      <c r="E2722" s="5">
        <v>0</v>
      </c>
      <c r="F2722" s="5">
        <v>0</v>
      </c>
      <c r="G2722" s="5">
        <v>0</v>
      </c>
      <c r="H2722" s="4" t="s">
        <v>11</v>
      </c>
      <c r="I2722" s="5">
        <v>0</v>
      </c>
      <c r="J2722" s="4">
        <v>45916.294351851851</v>
      </c>
    </row>
    <row r="2723" spans="1:10" x14ac:dyDescent="0.2">
      <c r="A2723" s="2" t="s">
        <v>10</v>
      </c>
      <c r="B2723" s="3" t="str">
        <f t="shared" si="52"/>
        <v>France - HCP Survey Email - June 2025</v>
      </c>
      <c r="C2723" s="3" t="str">
        <f>HYPERLINK("https://otsuka-europe-crm.veevavault.com/ui/#object/sent_email__v/VBLZ025E82GNP9K", "SE-000274411")</f>
        <v>SE-000274411</v>
      </c>
      <c r="D2723" s="4" t="s">
        <v>11</v>
      </c>
      <c r="E2723" s="5">
        <v>0</v>
      </c>
      <c r="F2723" s="5">
        <v>0</v>
      </c>
      <c r="G2723" s="5">
        <v>0</v>
      </c>
      <c r="H2723" s="4" t="s">
        <v>11</v>
      </c>
      <c r="I2723" s="5">
        <v>0</v>
      </c>
      <c r="J2723" s="4">
        <v>45916.294675925928</v>
      </c>
    </row>
    <row r="2724" spans="1:10" x14ac:dyDescent="0.2">
      <c r="A2724" s="2" t="s">
        <v>10</v>
      </c>
      <c r="B2724" s="3" t="str">
        <f t="shared" si="52"/>
        <v>France - HCP Survey Email - June 2025</v>
      </c>
      <c r="C2724" s="3" t="str">
        <f>HYPERLINK("https://otsuka-europe-crm.veevavault.com/ui/#object/sent_email__v/VBLZ025E82GNP9L", "SE-000274412")</f>
        <v>SE-000274412</v>
      </c>
      <c r="D2724" s="4" t="s">
        <v>11</v>
      </c>
      <c r="E2724" s="5">
        <v>0</v>
      </c>
      <c r="F2724" s="5">
        <v>0</v>
      </c>
      <c r="G2724" s="5">
        <v>0</v>
      </c>
      <c r="H2724" s="4" t="s">
        <v>11</v>
      </c>
      <c r="I2724" s="5">
        <v>0</v>
      </c>
      <c r="J2724" s="4">
        <v>45916.294861111113</v>
      </c>
    </row>
    <row r="2725" spans="1:10" x14ac:dyDescent="0.2">
      <c r="A2725" s="2" t="s">
        <v>10</v>
      </c>
      <c r="B2725" s="3" t="str">
        <f t="shared" si="52"/>
        <v>France - HCP Survey Email - June 2025</v>
      </c>
      <c r="C2725" s="3" t="str">
        <f>HYPERLINK("https://otsuka-europe-crm.veevavault.com/ui/#object/sent_email__v/VBLZ025E82GNP9N", "SE-000274414")</f>
        <v>SE-000274414</v>
      </c>
      <c r="D2725" s="4" t="s">
        <v>11</v>
      </c>
      <c r="E2725" s="5">
        <v>0</v>
      </c>
      <c r="F2725" s="5">
        <v>0</v>
      </c>
      <c r="G2725" s="5">
        <v>0</v>
      </c>
      <c r="H2725" s="4" t="s">
        <v>11</v>
      </c>
      <c r="I2725" s="5">
        <v>0</v>
      </c>
      <c r="J2725" s="4">
        <v>45916.29451388889</v>
      </c>
    </row>
    <row r="2726" spans="1:10" x14ac:dyDescent="0.2">
      <c r="A2726" s="2" t="s">
        <v>10</v>
      </c>
      <c r="B2726" s="3" t="str">
        <f t="shared" si="52"/>
        <v>France - HCP Survey Email - June 2025</v>
      </c>
      <c r="C2726" s="3" t="str">
        <f>HYPERLINK("https://otsuka-europe-crm.veevavault.com/ui/#object/sent_email__v/VBLZ025E82GNP9O", "SE-000274415")</f>
        <v>SE-000274415</v>
      </c>
      <c r="D2726" s="4">
        <v>45916.294895833336</v>
      </c>
      <c r="E2726" s="5">
        <v>1</v>
      </c>
      <c r="F2726" s="5">
        <v>2</v>
      </c>
      <c r="G2726" s="5">
        <v>1</v>
      </c>
      <c r="H2726" s="4">
        <v>45916.294895833336</v>
      </c>
      <c r="I2726" s="5">
        <v>2</v>
      </c>
      <c r="J2726" s="4">
        <v>45916.294756944444</v>
      </c>
    </row>
    <row r="2727" spans="1:10" x14ac:dyDescent="0.2">
      <c r="A2727" s="2" t="s">
        <v>10</v>
      </c>
      <c r="B2727" s="3" t="str">
        <f t="shared" si="52"/>
        <v>France - HCP Survey Email - June 2025</v>
      </c>
      <c r="C2727" s="3" t="str">
        <f>HYPERLINK("https://otsuka-europe-crm.veevavault.com/ui/#object/sent_email__v/VBLZ025E82GNP9P", "SE-000274416")</f>
        <v>SE-000274416</v>
      </c>
      <c r="D2727" s="4" t="s">
        <v>11</v>
      </c>
      <c r="E2727" s="5">
        <v>0</v>
      </c>
      <c r="F2727" s="5">
        <v>0</v>
      </c>
      <c r="G2727" s="5">
        <v>0</v>
      </c>
      <c r="H2727" s="4" t="s">
        <v>11</v>
      </c>
      <c r="I2727" s="5">
        <v>0</v>
      </c>
      <c r="J2727" s="4">
        <v>45916.294965277775</v>
      </c>
    </row>
    <row r="2728" spans="1:10" x14ac:dyDescent="0.2">
      <c r="A2728" s="2" t="s">
        <v>10</v>
      </c>
      <c r="B2728" s="3" t="str">
        <f t="shared" si="52"/>
        <v>France - HCP Survey Email - June 2025</v>
      </c>
      <c r="C2728" s="3" t="str">
        <f>HYPERLINK("https://otsuka-europe-crm.veevavault.com/ui/#object/sent_email__v/VBLZ025E82GNP9Q", "SE-000274417")</f>
        <v>SE-000274417</v>
      </c>
      <c r="D2728" s="4">
        <v>45916.294386574074</v>
      </c>
      <c r="E2728" s="5">
        <v>1</v>
      </c>
      <c r="F2728" s="5">
        <v>1</v>
      </c>
      <c r="G2728" s="5">
        <v>1</v>
      </c>
      <c r="H2728" s="4">
        <v>45916.294386574074</v>
      </c>
      <c r="I2728" s="5">
        <v>1</v>
      </c>
      <c r="J2728" s="4">
        <v>45916.294293981482</v>
      </c>
    </row>
    <row r="2729" spans="1:10" x14ac:dyDescent="0.2">
      <c r="A2729" s="2" t="s">
        <v>10</v>
      </c>
      <c r="B2729" s="3" t="str">
        <f t="shared" si="52"/>
        <v>France - HCP Survey Email - June 2025</v>
      </c>
      <c r="C2729" s="3" t="str">
        <f>HYPERLINK("https://otsuka-europe-crm.veevavault.com/ui/#object/sent_email__v/VBLZ025E82GNP9R", "SE-000274418")</f>
        <v>SE-000274418</v>
      </c>
      <c r="D2729" s="4">
        <v>45916.577766203707</v>
      </c>
      <c r="E2729" s="5">
        <v>1</v>
      </c>
      <c r="F2729" s="5">
        <v>2</v>
      </c>
      <c r="G2729" s="5">
        <v>0</v>
      </c>
      <c r="H2729" s="4" t="s">
        <v>11</v>
      </c>
      <c r="I2729" s="5">
        <v>0</v>
      </c>
      <c r="J2729" s="4">
        <v>45916.294525462959</v>
      </c>
    </row>
    <row r="2730" spans="1:10" x14ac:dyDescent="0.2">
      <c r="A2730" s="2" t="s">
        <v>10</v>
      </c>
      <c r="B2730" s="3" t="str">
        <f t="shared" si="52"/>
        <v>France - HCP Survey Email - June 2025</v>
      </c>
      <c r="C2730" s="3" t="str">
        <f>HYPERLINK("https://otsuka-europe-crm.veevavault.com/ui/#object/sent_email__v/VBLZ025E82GNP9S", "SE-000274419")</f>
        <v>SE-000274419</v>
      </c>
      <c r="D2730" s="4">
        <v>45916.352418981478</v>
      </c>
      <c r="E2730" s="5">
        <v>1</v>
      </c>
      <c r="F2730" s="5">
        <v>1</v>
      </c>
      <c r="G2730" s="5">
        <v>0</v>
      </c>
      <c r="H2730" s="4" t="s">
        <v>11</v>
      </c>
      <c r="I2730" s="5">
        <v>0</v>
      </c>
      <c r="J2730" s="4">
        <v>45916.294733796298</v>
      </c>
    </row>
    <row r="2731" spans="1:10" x14ac:dyDescent="0.2">
      <c r="A2731" s="2" t="s">
        <v>10</v>
      </c>
      <c r="B2731" s="3" t="str">
        <f t="shared" si="52"/>
        <v>France - HCP Survey Email - June 2025</v>
      </c>
      <c r="C2731" s="3" t="str">
        <f>HYPERLINK("https://otsuka-europe-crm.veevavault.com/ui/#object/sent_email__v/VBLZ025E82GNP9T", "SE-000274420")</f>
        <v>SE-000274420</v>
      </c>
      <c r="D2731" s="4" t="s">
        <v>11</v>
      </c>
      <c r="E2731" s="5">
        <v>0</v>
      </c>
      <c r="F2731" s="5">
        <v>0</v>
      </c>
      <c r="G2731" s="5">
        <v>0</v>
      </c>
      <c r="H2731" s="4" t="s">
        <v>11</v>
      </c>
      <c r="I2731" s="5">
        <v>0</v>
      </c>
      <c r="J2731" s="4">
        <v>45916.294270833336</v>
      </c>
    </row>
    <row r="2732" spans="1:10" x14ac:dyDescent="0.2">
      <c r="A2732" s="2" t="s">
        <v>10</v>
      </c>
      <c r="B2732" s="3" t="str">
        <f t="shared" si="52"/>
        <v>France - HCP Survey Email - June 2025</v>
      </c>
      <c r="C2732" s="3" t="str">
        <f>HYPERLINK("https://otsuka-europe-crm.veevavault.com/ui/#object/sent_email__v/VBLZ025E82GNP9U", "SE-000274421")</f>
        <v>SE-000274421</v>
      </c>
      <c r="D2732" s="4" t="s">
        <v>11</v>
      </c>
      <c r="E2732" s="5">
        <v>0</v>
      </c>
      <c r="F2732" s="5">
        <v>0</v>
      </c>
      <c r="G2732" s="5">
        <v>0</v>
      </c>
      <c r="H2732" s="4" t="s">
        <v>11</v>
      </c>
      <c r="I2732" s="5">
        <v>0</v>
      </c>
      <c r="J2732" s="4">
        <v>45916.294398148151</v>
      </c>
    </row>
    <row r="2733" spans="1:10" x14ac:dyDescent="0.2">
      <c r="A2733" s="2" t="s">
        <v>10</v>
      </c>
      <c r="B2733" s="3" t="str">
        <f t="shared" si="52"/>
        <v>France - HCP Survey Email - June 2025</v>
      </c>
      <c r="C2733" s="3" t="str">
        <f>HYPERLINK("https://otsuka-europe-crm.veevavault.com/ui/#object/sent_email__v/VBLZ025E82GNP9V", "SE-000274422")</f>
        <v>SE-000274422</v>
      </c>
      <c r="D2733" s="4" t="s">
        <v>11</v>
      </c>
      <c r="E2733" s="5">
        <v>0</v>
      </c>
      <c r="F2733" s="5">
        <v>0</v>
      </c>
      <c r="G2733" s="5">
        <v>0</v>
      </c>
      <c r="H2733" s="4" t="s">
        <v>11</v>
      </c>
      <c r="I2733" s="5">
        <v>0</v>
      </c>
      <c r="J2733" s="4">
        <v>45916.294641203705</v>
      </c>
    </row>
    <row r="2734" spans="1:10" x14ac:dyDescent="0.2">
      <c r="A2734" s="2" t="s">
        <v>10</v>
      </c>
      <c r="B2734" s="3" t="str">
        <f t="shared" si="52"/>
        <v>France - HCP Survey Email - June 2025</v>
      </c>
      <c r="C2734" s="3" t="str">
        <f>HYPERLINK("https://otsuka-europe-crm.veevavault.com/ui/#object/sent_email__v/VBLZ025E82GNP9W", "SE-000274423")</f>
        <v>SE-000274423</v>
      </c>
      <c r="D2734" s="4">
        <v>45916.295231481483</v>
      </c>
      <c r="E2734" s="5">
        <v>1</v>
      </c>
      <c r="F2734" s="5">
        <v>2</v>
      </c>
      <c r="G2734" s="5">
        <v>1</v>
      </c>
      <c r="H2734" s="4">
        <v>45916.295648148145</v>
      </c>
      <c r="I2734" s="5">
        <v>1</v>
      </c>
      <c r="J2734" s="4">
        <v>45916.294872685183</v>
      </c>
    </row>
    <row r="2735" spans="1:10" x14ac:dyDescent="0.2">
      <c r="A2735" s="2" t="s">
        <v>10</v>
      </c>
      <c r="B2735" s="3" t="str">
        <f t="shared" si="52"/>
        <v>France - HCP Survey Email - June 2025</v>
      </c>
      <c r="C2735" s="3" t="str">
        <f>HYPERLINK("https://otsuka-europe-crm.veevavault.com/ui/#object/sent_email__v/VBLZ025E82GNP9X", "SE-000274424")</f>
        <v>SE-000274424</v>
      </c>
      <c r="D2735" s="4" t="s">
        <v>11</v>
      </c>
      <c r="E2735" s="5">
        <v>0</v>
      </c>
      <c r="F2735" s="5">
        <v>0</v>
      </c>
      <c r="G2735" s="5">
        <v>0</v>
      </c>
      <c r="H2735" s="4" t="s">
        <v>11</v>
      </c>
      <c r="I2735" s="5">
        <v>0</v>
      </c>
      <c r="J2735" s="4">
        <v>45916.294270833336</v>
      </c>
    </row>
    <row r="2736" spans="1:10" x14ac:dyDescent="0.2">
      <c r="A2736" s="2" t="s">
        <v>10</v>
      </c>
      <c r="B2736" s="3" t="str">
        <f t="shared" si="52"/>
        <v>France - HCP Survey Email - June 2025</v>
      </c>
      <c r="C2736" s="3" t="str">
        <f>HYPERLINK("https://otsuka-europe-crm.veevavault.com/ui/#object/sent_email__v/VBLZ025E82GNP9Y", "SE-000274425")</f>
        <v>SE-000274425</v>
      </c>
      <c r="D2736" s="4" t="s">
        <v>11</v>
      </c>
      <c r="E2736" s="5">
        <v>0</v>
      </c>
      <c r="F2736" s="5">
        <v>0</v>
      </c>
      <c r="G2736" s="5">
        <v>0</v>
      </c>
      <c r="H2736" s="4" t="s">
        <v>11</v>
      </c>
      <c r="I2736" s="5">
        <v>0</v>
      </c>
      <c r="J2736" s="4">
        <v>45916.294432870367</v>
      </c>
    </row>
    <row r="2737" spans="1:10" x14ac:dyDescent="0.2">
      <c r="A2737" s="2" t="s">
        <v>10</v>
      </c>
      <c r="B2737" s="3" t="str">
        <f t="shared" si="52"/>
        <v>France - HCP Survey Email - June 2025</v>
      </c>
      <c r="C2737" s="3" t="str">
        <f>HYPERLINK("https://otsuka-europe-crm.veevavault.com/ui/#object/sent_email__v/VBLZ025E82GNP9Z", "SE-000274426")</f>
        <v>SE-000274426</v>
      </c>
      <c r="D2737" s="4" t="s">
        <v>11</v>
      </c>
      <c r="E2737" s="5">
        <v>0</v>
      </c>
      <c r="F2737" s="5">
        <v>0</v>
      </c>
      <c r="G2737" s="5">
        <v>0</v>
      </c>
      <c r="H2737" s="4" t="s">
        <v>11</v>
      </c>
      <c r="I2737" s="5">
        <v>0</v>
      </c>
      <c r="J2737" s="4">
        <v>45916.294687499998</v>
      </c>
    </row>
    <row r="2738" spans="1:10" x14ac:dyDescent="0.2">
      <c r="A2738" s="2" t="s">
        <v>10</v>
      </c>
      <c r="B2738" s="3" t="str">
        <f t="shared" si="52"/>
        <v>France - HCP Survey Email - June 2025</v>
      </c>
      <c r="C2738" s="3" t="str">
        <f>HYPERLINK("https://otsuka-europe-crm.veevavault.com/ui/#object/sent_email__v/VBLZ025E82GNPA1", "SE-000274428")</f>
        <v>SE-000274428</v>
      </c>
      <c r="D2738" s="4" t="s">
        <v>11</v>
      </c>
      <c r="E2738" s="5">
        <v>0</v>
      </c>
      <c r="F2738" s="5">
        <v>0</v>
      </c>
      <c r="G2738" s="5">
        <v>0</v>
      </c>
      <c r="H2738" s="4" t="s">
        <v>11</v>
      </c>
      <c r="I2738" s="5">
        <v>0</v>
      </c>
      <c r="J2738" s="4">
        <v>45916.294293981482</v>
      </c>
    </row>
    <row r="2739" spans="1:10" x14ac:dyDescent="0.2">
      <c r="A2739" s="2" t="s">
        <v>10</v>
      </c>
      <c r="B2739" s="3" t="str">
        <f t="shared" si="52"/>
        <v>France - HCP Survey Email - June 2025</v>
      </c>
      <c r="C2739" s="3" t="str">
        <f>HYPERLINK("https://otsuka-europe-crm.veevavault.com/ui/#object/sent_email__v/VBLZ025E82GNPA2", "SE-000274429")</f>
        <v>SE-000274429</v>
      </c>
      <c r="D2739" s="4">
        <v>45916.6875</v>
      </c>
      <c r="E2739" s="5">
        <v>1</v>
      </c>
      <c r="F2739" s="5">
        <v>1</v>
      </c>
      <c r="G2739" s="5">
        <v>0</v>
      </c>
      <c r="H2739" s="4" t="s">
        <v>11</v>
      </c>
      <c r="I2739" s="5">
        <v>0</v>
      </c>
      <c r="J2739" s="4">
        <v>45916.294479166667</v>
      </c>
    </row>
    <row r="2740" spans="1:10" x14ac:dyDescent="0.2">
      <c r="A2740" s="2" t="s">
        <v>10</v>
      </c>
      <c r="B2740" s="3" t="str">
        <f t="shared" si="52"/>
        <v>France - HCP Survey Email - June 2025</v>
      </c>
      <c r="C2740" s="3" t="str">
        <f>HYPERLINK("https://otsuka-europe-crm.veevavault.com/ui/#object/sent_email__v/VBLZ025E82GNPA3", "SE-000274430")</f>
        <v>SE-000274430</v>
      </c>
      <c r="D2740" s="4" t="s">
        <v>11</v>
      </c>
      <c r="E2740" s="5">
        <v>0</v>
      </c>
      <c r="F2740" s="5">
        <v>0</v>
      </c>
      <c r="G2740" s="5">
        <v>0</v>
      </c>
      <c r="H2740" s="4" t="s">
        <v>11</v>
      </c>
      <c r="I2740" s="5">
        <v>0</v>
      </c>
      <c r="J2740" s="4">
        <v>45916.294710648152</v>
      </c>
    </row>
    <row r="2741" spans="1:10" x14ac:dyDescent="0.2">
      <c r="A2741" s="2" t="s">
        <v>10</v>
      </c>
      <c r="B2741" s="3" t="str">
        <f t="shared" si="52"/>
        <v>France - HCP Survey Email - June 2025</v>
      </c>
      <c r="C2741" s="3" t="str">
        <f>HYPERLINK("https://otsuka-europe-crm.veevavault.com/ui/#object/sent_email__v/VBLZ025E82GNPA4", "SE-000274431")</f>
        <v>SE-000274431</v>
      </c>
      <c r="D2741" s="4" t="s">
        <v>11</v>
      </c>
      <c r="E2741" s="5">
        <v>0</v>
      </c>
      <c r="F2741" s="5">
        <v>0</v>
      </c>
      <c r="G2741" s="5">
        <v>0</v>
      </c>
      <c r="H2741" s="4" t="s">
        <v>11</v>
      </c>
      <c r="I2741" s="5">
        <v>0</v>
      </c>
      <c r="J2741" s="4">
        <v>45916.294907407406</v>
      </c>
    </row>
    <row r="2742" spans="1:10" x14ac:dyDescent="0.2">
      <c r="A2742" s="2" t="s">
        <v>10</v>
      </c>
      <c r="B2742" s="3" t="str">
        <f t="shared" si="52"/>
        <v>France - HCP Survey Email - June 2025</v>
      </c>
      <c r="C2742" s="3" t="str">
        <f>HYPERLINK("https://otsuka-europe-crm.veevavault.com/ui/#object/sent_email__v/VBLZ025E82GNPA5", "SE-000274432")</f>
        <v>SE-000274432</v>
      </c>
      <c r="D2742" s="4" t="s">
        <v>11</v>
      </c>
      <c r="E2742" s="5">
        <v>0</v>
      </c>
      <c r="F2742" s="5">
        <v>0</v>
      </c>
      <c r="G2742" s="5">
        <v>0</v>
      </c>
      <c r="H2742" s="4" t="s">
        <v>11</v>
      </c>
      <c r="I2742" s="5">
        <v>0</v>
      </c>
      <c r="J2742" s="4">
        <v>45916.294270833336</v>
      </c>
    </row>
    <row r="2743" spans="1:10" x14ac:dyDescent="0.2">
      <c r="A2743" s="2" t="s">
        <v>10</v>
      </c>
      <c r="B2743" s="3" t="str">
        <f t="shared" si="52"/>
        <v>France - HCP Survey Email - June 2025</v>
      </c>
      <c r="C2743" s="3" t="str">
        <f>HYPERLINK("https://otsuka-europe-crm.veevavault.com/ui/#object/sent_email__v/VBLZ025E82GNPA6", "SE-000274433")</f>
        <v>SE-000274433</v>
      </c>
      <c r="D2743" s="4">
        <v>45916.465925925928</v>
      </c>
      <c r="E2743" s="5">
        <v>1</v>
      </c>
      <c r="F2743" s="5">
        <v>1</v>
      </c>
      <c r="G2743" s="5">
        <v>1</v>
      </c>
      <c r="H2743" s="4">
        <v>45916.465925925928</v>
      </c>
      <c r="I2743" s="5">
        <v>1</v>
      </c>
      <c r="J2743" s="4">
        <v>45916.294560185182</v>
      </c>
    </row>
    <row r="2744" spans="1:10" x14ac:dyDescent="0.2">
      <c r="A2744" s="2" t="s">
        <v>10</v>
      </c>
      <c r="B2744" s="3" t="str">
        <f t="shared" si="52"/>
        <v>France - HCP Survey Email - June 2025</v>
      </c>
      <c r="C2744" s="3" t="str">
        <f>HYPERLINK("https://otsuka-europe-crm.veevavault.com/ui/#object/sent_email__v/VBLZ025E82GNPA7", "SE-000274434")</f>
        <v>SE-000274434</v>
      </c>
      <c r="D2744" s="4" t="s">
        <v>11</v>
      </c>
      <c r="E2744" s="5">
        <v>0</v>
      </c>
      <c r="F2744" s="5">
        <v>0</v>
      </c>
      <c r="G2744" s="5">
        <v>0</v>
      </c>
      <c r="H2744" s="4" t="s">
        <v>11</v>
      </c>
      <c r="I2744" s="5">
        <v>0</v>
      </c>
      <c r="J2744" s="4">
        <v>45916.294791666667</v>
      </c>
    </row>
    <row r="2745" spans="1:10" x14ac:dyDescent="0.2">
      <c r="A2745" s="2" t="s">
        <v>10</v>
      </c>
      <c r="B2745" s="3" t="str">
        <f t="shared" si="52"/>
        <v>France - HCP Survey Email - June 2025</v>
      </c>
      <c r="C2745" s="3" t="str">
        <f>HYPERLINK("https://otsuka-europe-crm.veevavault.com/ui/#object/sent_email__v/VBLZ025E82GNPA8", "SE-000274435")</f>
        <v>SE-000274435</v>
      </c>
      <c r="D2745" s="4">
        <v>45916.294236111113</v>
      </c>
      <c r="E2745" s="5">
        <v>1</v>
      </c>
      <c r="F2745" s="5">
        <v>1</v>
      </c>
      <c r="G2745" s="5">
        <v>1</v>
      </c>
      <c r="H2745" s="4">
        <v>45916.294236111113</v>
      </c>
      <c r="I2745" s="5">
        <v>1</v>
      </c>
      <c r="J2745" s="4">
        <v>45916.29420138889</v>
      </c>
    </row>
    <row r="2746" spans="1:10" x14ac:dyDescent="0.2">
      <c r="A2746" s="2" t="s">
        <v>10</v>
      </c>
      <c r="B2746" s="3" t="str">
        <f t="shared" si="52"/>
        <v>France - HCP Survey Email - June 2025</v>
      </c>
      <c r="C2746" s="3" t="str">
        <f>HYPERLINK("https://otsuka-europe-crm.veevavault.com/ui/#object/sent_email__v/VBLZ025E82GNPA9", "SE-000274436")</f>
        <v>SE-000274436</v>
      </c>
      <c r="D2746" s="4">
        <v>45916.530914351853</v>
      </c>
      <c r="E2746" s="5">
        <v>1</v>
      </c>
      <c r="F2746" s="5">
        <v>1</v>
      </c>
      <c r="G2746" s="5">
        <v>0</v>
      </c>
      <c r="H2746" s="4" t="s">
        <v>11</v>
      </c>
      <c r="I2746" s="5">
        <v>0</v>
      </c>
      <c r="J2746" s="4">
        <v>45916.294328703705</v>
      </c>
    </row>
    <row r="2747" spans="1:10" x14ac:dyDescent="0.2">
      <c r="A2747" s="2" t="s">
        <v>10</v>
      </c>
      <c r="B2747" s="3" t="str">
        <f t="shared" si="52"/>
        <v>France - HCP Survey Email - June 2025</v>
      </c>
      <c r="C2747" s="3" t="str">
        <f>HYPERLINK("https://otsuka-europe-crm.veevavault.com/ui/#object/sent_email__v/VBLZ025E82GNPAA", "SE-000274437")</f>
        <v>SE-000274437</v>
      </c>
      <c r="D2747" s="4" t="s">
        <v>11</v>
      </c>
      <c r="E2747" s="5">
        <v>0</v>
      </c>
      <c r="F2747" s="5">
        <v>0</v>
      </c>
      <c r="G2747" s="5">
        <v>0</v>
      </c>
      <c r="H2747" s="4" t="s">
        <v>11</v>
      </c>
      <c r="I2747" s="5">
        <v>0</v>
      </c>
      <c r="J2747" s="4">
        <v>45916.294641203705</v>
      </c>
    </row>
    <row r="2748" spans="1:10" x14ac:dyDescent="0.2">
      <c r="A2748" s="2" t="s">
        <v>10</v>
      </c>
      <c r="B2748" s="3" t="str">
        <f t="shared" si="52"/>
        <v>France - HCP Survey Email - June 2025</v>
      </c>
      <c r="C2748" s="3" t="str">
        <f>HYPERLINK("https://otsuka-europe-crm.veevavault.com/ui/#object/sent_email__v/VBLZ025E82GNPAB", "SE-000274438")</f>
        <v>SE-000274438</v>
      </c>
      <c r="D2748" s="4" t="s">
        <v>11</v>
      </c>
      <c r="E2748" s="5">
        <v>0</v>
      </c>
      <c r="F2748" s="5">
        <v>0</v>
      </c>
      <c r="G2748" s="5">
        <v>0</v>
      </c>
      <c r="H2748" s="4" t="s">
        <v>11</v>
      </c>
      <c r="I2748" s="5">
        <v>0</v>
      </c>
      <c r="J2748" s="4">
        <v>45916.294953703706</v>
      </c>
    </row>
    <row r="2749" spans="1:10" x14ac:dyDescent="0.2">
      <c r="A2749" s="2" t="s">
        <v>10</v>
      </c>
      <c r="B2749" s="3" t="str">
        <f t="shared" si="52"/>
        <v>France - HCP Survey Email - June 2025</v>
      </c>
      <c r="C2749" s="3" t="str">
        <f>HYPERLINK("https://otsuka-europe-crm.veevavault.com/ui/#object/sent_email__v/VBLZ025E82GNPAC", "SE-000274439")</f>
        <v>SE-000274439</v>
      </c>
      <c r="D2749" s="4" t="s">
        <v>11</v>
      </c>
      <c r="E2749" s="5">
        <v>0</v>
      </c>
      <c r="F2749" s="5">
        <v>0</v>
      </c>
      <c r="G2749" s="5">
        <v>0</v>
      </c>
      <c r="H2749" s="4" t="s">
        <v>11</v>
      </c>
      <c r="I2749" s="5">
        <v>0</v>
      </c>
      <c r="J2749" s="4">
        <v>45916.294293981482</v>
      </c>
    </row>
    <row r="2750" spans="1:10" x14ac:dyDescent="0.2">
      <c r="A2750" s="2" t="s">
        <v>10</v>
      </c>
      <c r="B2750" s="3" t="str">
        <f t="shared" si="52"/>
        <v>France - HCP Survey Email - June 2025</v>
      </c>
      <c r="C2750" s="3" t="str">
        <f>HYPERLINK("https://otsuka-europe-crm.veevavault.com/ui/#object/sent_email__v/VBLZ025E82GNPAD", "SE-000274440")</f>
        <v>SE-000274440</v>
      </c>
      <c r="D2750" s="4" t="s">
        <v>11</v>
      </c>
      <c r="E2750" s="5">
        <v>0</v>
      </c>
      <c r="F2750" s="5">
        <v>0</v>
      </c>
      <c r="G2750" s="5">
        <v>0</v>
      </c>
      <c r="H2750" s="4" t="s">
        <v>11</v>
      </c>
      <c r="I2750" s="5">
        <v>0</v>
      </c>
      <c r="J2750" s="4">
        <v>45916.29451388889</v>
      </c>
    </row>
    <row r="2751" spans="1:10" x14ac:dyDescent="0.2">
      <c r="A2751" s="2" t="s">
        <v>10</v>
      </c>
      <c r="B2751" s="3" t="str">
        <f t="shared" si="52"/>
        <v>France - HCP Survey Email - June 2025</v>
      </c>
      <c r="C2751" s="3" t="str">
        <f>HYPERLINK("https://otsuka-europe-crm.veevavault.com/ui/#object/sent_email__v/VBLZ025E82GNPAE", "SE-000274441")</f>
        <v>SE-000274441</v>
      </c>
      <c r="D2751" s="4" t="s">
        <v>11</v>
      </c>
      <c r="E2751" s="5">
        <v>0</v>
      </c>
      <c r="F2751" s="5">
        <v>0</v>
      </c>
      <c r="G2751" s="5">
        <v>0</v>
      </c>
      <c r="H2751" s="4" t="s">
        <v>11</v>
      </c>
      <c r="I2751" s="5">
        <v>0</v>
      </c>
      <c r="J2751" s="4">
        <v>45916.294733796298</v>
      </c>
    </row>
    <row r="2752" spans="1:10" x14ac:dyDescent="0.2">
      <c r="A2752" s="2" t="s">
        <v>10</v>
      </c>
      <c r="B2752" s="3" t="str">
        <f t="shared" si="52"/>
        <v>France - HCP Survey Email - June 2025</v>
      </c>
      <c r="C2752" s="3" t="str">
        <f>HYPERLINK("https://otsuka-europe-crm.veevavault.com/ui/#object/sent_email__v/VBLZ025E82GNPAF", "SE-000274442")</f>
        <v>SE-000274442</v>
      </c>
      <c r="D2752" s="4" t="s">
        <v>11</v>
      </c>
      <c r="E2752" s="5">
        <v>0</v>
      </c>
      <c r="F2752" s="5">
        <v>0</v>
      </c>
      <c r="G2752" s="5">
        <v>0</v>
      </c>
      <c r="H2752" s="4" t="s">
        <v>11</v>
      </c>
      <c r="I2752" s="5">
        <v>0</v>
      </c>
      <c r="J2752" s="4">
        <v>45916.294942129629</v>
      </c>
    </row>
    <row r="2753" spans="1:10" x14ac:dyDescent="0.2">
      <c r="A2753" s="2" t="s">
        <v>10</v>
      </c>
      <c r="B2753" s="3" t="str">
        <f t="shared" ref="B2753:B2816" si="53">HYPERLINK("https://otsuka-europe-crm.veevavault.com/ui/#object/approved_document__v/V5OZ025E82TMV97", "France - HCP Survey Email - June 2025")</f>
        <v>France - HCP Survey Email - June 2025</v>
      </c>
      <c r="C2753" s="3" t="str">
        <f>HYPERLINK("https://otsuka-europe-crm.veevavault.com/ui/#object/sent_email__v/VBLZ025E82GNPAG", "SE-000274443")</f>
        <v>SE-000274443</v>
      </c>
      <c r="D2753" s="4" t="s">
        <v>11</v>
      </c>
      <c r="E2753" s="5">
        <v>0</v>
      </c>
      <c r="F2753" s="5">
        <v>0</v>
      </c>
      <c r="G2753" s="5">
        <v>0</v>
      </c>
      <c r="H2753" s="4" t="s">
        <v>11</v>
      </c>
      <c r="I2753" s="5">
        <v>0</v>
      </c>
      <c r="J2753" s="4">
        <v>45916.294328703705</v>
      </c>
    </row>
    <row r="2754" spans="1:10" x14ac:dyDescent="0.2">
      <c r="A2754" s="2" t="s">
        <v>10</v>
      </c>
      <c r="B2754" s="3" t="str">
        <f t="shared" si="53"/>
        <v>France - HCP Survey Email - June 2025</v>
      </c>
      <c r="C2754" s="3" t="str">
        <f>HYPERLINK("https://otsuka-europe-crm.veevavault.com/ui/#object/sent_email__v/VBLZ025E82GNPAH", "SE-000274444")</f>
        <v>SE-000274444</v>
      </c>
      <c r="D2754" s="4" t="s">
        <v>11</v>
      </c>
      <c r="E2754" s="5">
        <v>0</v>
      </c>
      <c r="F2754" s="5">
        <v>0</v>
      </c>
      <c r="G2754" s="5">
        <v>0</v>
      </c>
      <c r="H2754" s="4" t="s">
        <v>11</v>
      </c>
      <c r="I2754" s="5">
        <v>0</v>
      </c>
      <c r="J2754" s="4">
        <v>45916.294525462959</v>
      </c>
    </row>
    <row r="2755" spans="1:10" x14ac:dyDescent="0.2">
      <c r="A2755" s="2" t="s">
        <v>10</v>
      </c>
      <c r="B2755" s="3" t="str">
        <f t="shared" si="53"/>
        <v>France - HCP Survey Email - June 2025</v>
      </c>
      <c r="C2755" s="3" t="str">
        <f>HYPERLINK("https://otsuka-europe-crm.veevavault.com/ui/#object/sent_email__v/VBLZ025E82GNPAI", "SE-000274445")</f>
        <v>SE-000274445</v>
      </c>
      <c r="D2755" s="4">
        <v>45916.347430555557</v>
      </c>
      <c r="E2755" s="5">
        <v>1</v>
      </c>
      <c r="F2755" s="5">
        <v>2</v>
      </c>
      <c r="G2755" s="5">
        <v>0</v>
      </c>
      <c r="H2755" s="4" t="s">
        <v>11</v>
      </c>
      <c r="I2755" s="5">
        <v>0</v>
      </c>
      <c r="J2755" s="4">
        <v>45916.294814814813</v>
      </c>
    </row>
    <row r="2756" spans="1:10" x14ac:dyDescent="0.2">
      <c r="A2756" s="2" t="s">
        <v>10</v>
      </c>
      <c r="B2756" s="3" t="str">
        <f t="shared" si="53"/>
        <v>France - HCP Survey Email - June 2025</v>
      </c>
      <c r="C2756" s="3" t="str">
        <f>HYPERLINK("https://otsuka-europe-crm.veevavault.com/ui/#object/sent_email__v/VBLZ025E82GNPAJ", "SE-000274446")</f>
        <v>SE-000274446</v>
      </c>
      <c r="D2756" s="4" t="s">
        <v>11</v>
      </c>
      <c r="E2756" s="5">
        <v>0</v>
      </c>
      <c r="F2756" s="5">
        <v>0</v>
      </c>
      <c r="G2756" s="5">
        <v>0</v>
      </c>
      <c r="H2756" s="4" t="s">
        <v>11</v>
      </c>
      <c r="I2756" s="5">
        <v>0</v>
      </c>
      <c r="J2756" s="4">
        <v>45916.294236111113</v>
      </c>
    </row>
    <row r="2757" spans="1:10" x14ac:dyDescent="0.2">
      <c r="A2757" s="2" t="s">
        <v>10</v>
      </c>
      <c r="B2757" s="3" t="str">
        <f t="shared" si="53"/>
        <v>France - HCP Survey Email - June 2025</v>
      </c>
      <c r="C2757" s="3" t="str">
        <f>HYPERLINK("https://otsuka-europe-crm.veevavault.com/ui/#object/sent_email__v/VBLZ025E82GNPAK", "SE-000274447")</f>
        <v>SE-000274447</v>
      </c>
      <c r="D2757" s="4" t="s">
        <v>11</v>
      </c>
      <c r="E2757" s="5">
        <v>0</v>
      </c>
      <c r="F2757" s="5">
        <v>0</v>
      </c>
      <c r="G2757" s="5">
        <v>0</v>
      </c>
      <c r="H2757" s="4" t="s">
        <v>11</v>
      </c>
      <c r="I2757" s="5">
        <v>0</v>
      </c>
      <c r="J2757" s="4">
        <v>45916.294374999998</v>
      </c>
    </row>
    <row r="2758" spans="1:10" x14ac:dyDescent="0.2">
      <c r="A2758" s="2" t="s">
        <v>10</v>
      </c>
      <c r="B2758" s="3" t="str">
        <f t="shared" si="53"/>
        <v>France - HCP Survey Email - June 2025</v>
      </c>
      <c r="C2758" s="3" t="str">
        <f>HYPERLINK("https://otsuka-europe-crm.veevavault.com/ui/#object/sent_email__v/VBLZ025E82GNPAL", "SE-000274448")</f>
        <v>SE-000274448</v>
      </c>
      <c r="D2758" s="4" t="s">
        <v>11</v>
      </c>
      <c r="E2758" s="5">
        <v>0</v>
      </c>
      <c r="F2758" s="5">
        <v>0</v>
      </c>
      <c r="G2758" s="5">
        <v>0</v>
      </c>
      <c r="H2758" s="4" t="s">
        <v>11</v>
      </c>
      <c r="I2758" s="5">
        <v>0</v>
      </c>
      <c r="J2758" s="4">
        <v>45916.294664351852</v>
      </c>
    </row>
    <row r="2759" spans="1:10" x14ac:dyDescent="0.2">
      <c r="A2759" s="2" t="s">
        <v>10</v>
      </c>
      <c r="B2759" s="3" t="str">
        <f t="shared" si="53"/>
        <v>France - HCP Survey Email - June 2025</v>
      </c>
      <c r="C2759" s="3" t="str">
        <f>HYPERLINK("https://otsuka-europe-crm.veevavault.com/ui/#object/sent_email__v/VBLZ025E82GNPAM", "SE-000274449")</f>
        <v>SE-000274449</v>
      </c>
      <c r="D2759" s="4" t="s">
        <v>11</v>
      </c>
      <c r="E2759" s="5">
        <v>0</v>
      </c>
      <c r="F2759" s="5">
        <v>0</v>
      </c>
      <c r="G2759" s="5">
        <v>0</v>
      </c>
      <c r="H2759" s="4" t="s">
        <v>11</v>
      </c>
      <c r="I2759" s="5">
        <v>0</v>
      </c>
      <c r="J2759" s="4">
        <v>45916.294930555552</v>
      </c>
    </row>
    <row r="2760" spans="1:10" x14ac:dyDescent="0.2">
      <c r="A2760" s="2" t="s">
        <v>10</v>
      </c>
      <c r="B2760" s="3" t="str">
        <f t="shared" si="53"/>
        <v>France - HCP Survey Email - June 2025</v>
      </c>
      <c r="C2760" s="3" t="str">
        <f>HYPERLINK("https://otsuka-europe-crm.veevavault.com/ui/#object/sent_email__v/VBLZ025E82GNPAN", "SE-000274450")</f>
        <v>SE-000274450</v>
      </c>
      <c r="D2760" s="4" t="s">
        <v>11</v>
      </c>
      <c r="E2760" s="5">
        <v>0</v>
      </c>
      <c r="F2760" s="5">
        <v>0</v>
      </c>
      <c r="G2760" s="5">
        <v>0</v>
      </c>
      <c r="H2760" s="4" t="s">
        <v>11</v>
      </c>
      <c r="I2760" s="5">
        <v>0</v>
      </c>
      <c r="J2760" s="4">
        <v>45916.294398148151</v>
      </c>
    </row>
    <row r="2761" spans="1:10" x14ac:dyDescent="0.2">
      <c r="A2761" s="2" t="s">
        <v>10</v>
      </c>
      <c r="B2761" s="3" t="str">
        <f t="shared" si="53"/>
        <v>France - HCP Survey Email - June 2025</v>
      </c>
      <c r="C2761" s="3" t="str">
        <f>HYPERLINK("https://otsuka-europe-crm.veevavault.com/ui/#object/sent_email__v/VBLZ025E82GNPAO", "SE-000274451")</f>
        <v>SE-000274451</v>
      </c>
      <c r="D2761" s="4" t="s">
        <v>11</v>
      </c>
      <c r="E2761" s="5">
        <v>0</v>
      </c>
      <c r="F2761" s="5">
        <v>0</v>
      </c>
      <c r="G2761" s="5">
        <v>0</v>
      </c>
      <c r="H2761" s="4" t="s">
        <v>11</v>
      </c>
      <c r="I2761" s="5">
        <v>0</v>
      </c>
      <c r="J2761" s="4">
        <v>45916.294444444444</v>
      </c>
    </row>
    <row r="2762" spans="1:10" x14ac:dyDescent="0.2">
      <c r="A2762" s="2" t="s">
        <v>10</v>
      </c>
      <c r="B2762" s="3" t="str">
        <f t="shared" si="53"/>
        <v>France - HCP Survey Email - June 2025</v>
      </c>
      <c r="C2762" s="3" t="str">
        <f>HYPERLINK("https://otsuka-europe-crm.veevavault.com/ui/#object/sent_email__v/VBLZ025E82GNPAQ", "SE-000274453")</f>
        <v>SE-000274453</v>
      </c>
      <c r="D2762" s="4">
        <v>45919.005023148151</v>
      </c>
      <c r="E2762" s="5">
        <v>1</v>
      </c>
      <c r="F2762" s="5">
        <v>1</v>
      </c>
      <c r="G2762" s="5">
        <v>0</v>
      </c>
      <c r="H2762" s="4" t="s">
        <v>11</v>
      </c>
      <c r="I2762" s="5">
        <v>0</v>
      </c>
      <c r="J2762" s="4">
        <v>45916.294606481482</v>
      </c>
    </row>
    <row r="2763" spans="1:10" x14ac:dyDescent="0.2">
      <c r="A2763" s="2" t="s">
        <v>10</v>
      </c>
      <c r="B2763" s="3" t="str">
        <f t="shared" si="53"/>
        <v>France - HCP Survey Email - June 2025</v>
      </c>
      <c r="C2763" s="3" t="str">
        <f>HYPERLINK("https://otsuka-europe-crm.veevavault.com/ui/#object/sent_email__v/VBLZ025E82GNPAR", "SE-000274454")</f>
        <v>SE-000274454</v>
      </c>
      <c r="D2763" s="4">
        <v>45917.445555555554</v>
      </c>
      <c r="E2763" s="5">
        <v>1</v>
      </c>
      <c r="F2763" s="5">
        <v>2</v>
      </c>
      <c r="G2763" s="5">
        <v>0</v>
      </c>
      <c r="H2763" s="4" t="s">
        <v>11</v>
      </c>
      <c r="I2763" s="5">
        <v>0</v>
      </c>
      <c r="J2763" s="4">
        <v>45916.294942129629</v>
      </c>
    </row>
    <row r="2764" spans="1:10" x14ac:dyDescent="0.2">
      <c r="A2764" s="2" t="s">
        <v>10</v>
      </c>
      <c r="B2764" s="3" t="str">
        <f t="shared" si="53"/>
        <v>France - HCP Survey Email - June 2025</v>
      </c>
      <c r="C2764" s="3" t="str">
        <f>HYPERLINK("https://otsuka-europe-crm.veevavault.com/ui/#object/sent_email__v/VBLZ025E82GNPAS", "SE-000274455")</f>
        <v>SE-000274455</v>
      </c>
      <c r="D2764" s="4" t="s">
        <v>11</v>
      </c>
      <c r="E2764" s="5">
        <v>0</v>
      </c>
      <c r="F2764" s="5">
        <v>0</v>
      </c>
      <c r="G2764" s="5">
        <v>0</v>
      </c>
      <c r="H2764" s="4" t="s">
        <v>11</v>
      </c>
      <c r="I2764" s="5">
        <v>0</v>
      </c>
      <c r="J2764" s="4">
        <v>45916.294340277775</v>
      </c>
    </row>
    <row r="2765" spans="1:10" x14ac:dyDescent="0.2">
      <c r="A2765" s="2" t="s">
        <v>10</v>
      </c>
      <c r="B2765" s="3" t="str">
        <f t="shared" si="53"/>
        <v>France - HCP Survey Email - June 2025</v>
      </c>
      <c r="C2765" s="3" t="str">
        <f>HYPERLINK("https://otsuka-europe-crm.veevavault.com/ui/#object/sent_email__v/VBLZ025E82GNPAT", "SE-000274456")</f>
        <v>SE-000274456</v>
      </c>
      <c r="D2765" s="4" t="s">
        <v>11</v>
      </c>
      <c r="E2765" s="5">
        <v>0</v>
      </c>
      <c r="F2765" s="5">
        <v>0</v>
      </c>
      <c r="G2765" s="5">
        <v>0</v>
      </c>
      <c r="H2765" s="4" t="s">
        <v>11</v>
      </c>
      <c r="I2765" s="5">
        <v>0</v>
      </c>
      <c r="J2765" s="4">
        <v>45916.294432870367</v>
      </c>
    </row>
    <row r="2766" spans="1:10" x14ac:dyDescent="0.2">
      <c r="A2766" s="2" t="s">
        <v>10</v>
      </c>
      <c r="B2766" s="3" t="str">
        <f t="shared" si="53"/>
        <v>France - HCP Survey Email - June 2025</v>
      </c>
      <c r="C2766" s="3" t="str">
        <f>HYPERLINK("https://otsuka-europe-crm.veevavault.com/ui/#object/sent_email__v/VBLZ025E82GNPAU", "SE-000274457")</f>
        <v>SE-000274457</v>
      </c>
      <c r="D2766" s="4" t="s">
        <v>11</v>
      </c>
      <c r="E2766" s="5">
        <v>0</v>
      </c>
      <c r="F2766" s="5">
        <v>0</v>
      </c>
      <c r="G2766" s="5">
        <v>0</v>
      </c>
      <c r="H2766" s="4" t="s">
        <v>11</v>
      </c>
      <c r="I2766" s="5">
        <v>0</v>
      </c>
      <c r="J2766" s="4">
        <v>45916.294814814813</v>
      </c>
    </row>
    <row r="2767" spans="1:10" x14ac:dyDescent="0.2">
      <c r="A2767" s="2" t="s">
        <v>10</v>
      </c>
      <c r="B2767" s="3" t="str">
        <f t="shared" si="53"/>
        <v>France - HCP Survey Email - June 2025</v>
      </c>
      <c r="C2767" s="3" t="str">
        <f>HYPERLINK("https://otsuka-europe-crm.veevavault.com/ui/#object/sent_email__v/VBLZ025E82GNPAV", "SE-000274458")</f>
        <v>SE-000274458</v>
      </c>
      <c r="D2767" s="4">
        <v>45916.297511574077</v>
      </c>
      <c r="E2767" s="5">
        <v>1</v>
      </c>
      <c r="F2767" s="5">
        <v>1</v>
      </c>
      <c r="G2767" s="5">
        <v>0</v>
      </c>
      <c r="H2767" s="4" t="s">
        <v>11</v>
      </c>
      <c r="I2767" s="5">
        <v>0</v>
      </c>
      <c r="J2767" s="4">
        <v>45916.294942129629</v>
      </c>
    </row>
    <row r="2768" spans="1:10" x14ac:dyDescent="0.2">
      <c r="A2768" s="2" t="s">
        <v>10</v>
      </c>
      <c r="B2768" s="3" t="str">
        <f t="shared" si="53"/>
        <v>France - HCP Survey Email - June 2025</v>
      </c>
      <c r="C2768" s="3" t="str">
        <f>HYPERLINK("https://otsuka-europe-crm.veevavault.com/ui/#object/sent_email__v/VBLZ025E82GNPAW", "SE-000274459")</f>
        <v>SE-000274459</v>
      </c>
      <c r="D2768" s="4" t="s">
        <v>11</v>
      </c>
      <c r="E2768" s="5">
        <v>0</v>
      </c>
      <c r="F2768" s="5">
        <v>0</v>
      </c>
      <c r="G2768" s="5">
        <v>0</v>
      </c>
      <c r="H2768" s="4" t="s">
        <v>11</v>
      </c>
      <c r="I2768" s="5">
        <v>0</v>
      </c>
      <c r="J2768" s="4">
        <v>45916.294398148151</v>
      </c>
    </row>
    <row r="2769" spans="1:10" x14ac:dyDescent="0.2">
      <c r="A2769" s="2" t="s">
        <v>10</v>
      </c>
      <c r="B2769" s="3" t="str">
        <f t="shared" si="53"/>
        <v>France - HCP Survey Email - June 2025</v>
      </c>
      <c r="C2769" s="3" t="str">
        <f>HYPERLINK("https://otsuka-europe-crm.veevavault.com/ui/#object/sent_email__v/VBLZ025E82GNPAX", "SE-000274460")</f>
        <v>SE-000274460</v>
      </c>
      <c r="D2769" s="4" t="s">
        <v>11</v>
      </c>
      <c r="E2769" s="5">
        <v>0</v>
      </c>
      <c r="F2769" s="5">
        <v>0</v>
      </c>
      <c r="G2769" s="5">
        <v>0</v>
      </c>
      <c r="H2769" s="4" t="s">
        <v>11</v>
      </c>
      <c r="I2769" s="5">
        <v>0</v>
      </c>
      <c r="J2769" s="4">
        <v>45916.294594907406</v>
      </c>
    </row>
    <row r="2770" spans="1:10" x14ac:dyDescent="0.2">
      <c r="A2770" s="2" t="s">
        <v>10</v>
      </c>
      <c r="B2770" s="3" t="str">
        <f t="shared" si="53"/>
        <v>France - HCP Survey Email - June 2025</v>
      </c>
      <c r="C2770" s="3" t="str">
        <f>HYPERLINK("https://otsuka-europe-crm.veevavault.com/ui/#object/sent_email__v/VBLZ025E82GNPAY", "SE-000274461")</f>
        <v>SE-000274461</v>
      </c>
      <c r="D2770" s="4" t="s">
        <v>11</v>
      </c>
      <c r="E2770" s="5">
        <v>0</v>
      </c>
      <c r="F2770" s="5">
        <v>0</v>
      </c>
      <c r="G2770" s="5">
        <v>0</v>
      </c>
      <c r="H2770" s="4" t="s">
        <v>11</v>
      </c>
      <c r="I2770" s="5">
        <v>0</v>
      </c>
      <c r="J2770" s="4">
        <v>45916.29483796296</v>
      </c>
    </row>
    <row r="2771" spans="1:10" x14ac:dyDescent="0.2">
      <c r="A2771" s="2" t="s">
        <v>10</v>
      </c>
      <c r="B2771" s="3" t="str">
        <f t="shared" si="53"/>
        <v>France - HCP Survey Email - June 2025</v>
      </c>
      <c r="C2771" s="3" t="str">
        <f>HYPERLINK("https://otsuka-europe-crm.veevavault.com/ui/#object/sent_email__v/VBLZ025E82GNPAZ", "SE-000274462")</f>
        <v>SE-000274462</v>
      </c>
      <c r="D2771" s="4" t="s">
        <v>11</v>
      </c>
      <c r="E2771" s="5">
        <v>0</v>
      </c>
      <c r="F2771" s="5">
        <v>0</v>
      </c>
      <c r="G2771" s="5">
        <v>0</v>
      </c>
      <c r="H2771" s="4" t="s">
        <v>11</v>
      </c>
      <c r="I2771" s="5">
        <v>0</v>
      </c>
      <c r="J2771" s="4">
        <v>45916.29420138889</v>
      </c>
    </row>
    <row r="2772" spans="1:10" x14ac:dyDescent="0.2">
      <c r="A2772" s="2" t="s">
        <v>10</v>
      </c>
      <c r="B2772" s="3" t="str">
        <f t="shared" si="53"/>
        <v>France - HCP Survey Email - June 2025</v>
      </c>
      <c r="C2772" s="3" t="str">
        <f>HYPERLINK("https://otsuka-europe-crm.veevavault.com/ui/#object/sent_email__v/VBLZ025E82GNPB0", "SE-000274463")</f>
        <v>SE-000274463</v>
      </c>
      <c r="D2772" s="4" t="s">
        <v>11</v>
      </c>
      <c r="E2772" s="5">
        <v>0</v>
      </c>
      <c r="F2772" s="5">
        <v>0</v>
      </c>
      <c r="G2772" s="5">
        <v>0</v>
      </c>
      <c r="H2772" s="4" t="s">
        <v>11</v>
      </c>
      <c r="I2772" s="5">
        <v>0</v>
      </c>
      <c r="J2772" s="4">
        <v>45916.294432870367</v>
      </c>
    </row>
    <row r="2773" spans="1:10" x14ac:dyDescent="0.2">
      <c r="A2773" s="2" t="s">
        <v>10</v>
      </c>
      <c r="B2773" s="3" t="str">
        <f t="shared" si="53"/>
        <v>France - HCP Survey Email - June 2025</v>
      </c>
      <c r="C2773" s="3" t="str">
        <f>HYPERLINK("https://otsuka-europe-crm.veevavault.com/ui/#object/sent_email__v/VBLZ025E82GNPB1", "SE-000274464")</f>
        <v>SE-000274464</v>
      </c>
      <c r="D2773" s="4" t="s">
        <v>11</v>
      </c>
      <c r="E2773" s="5">
        <v>0</v>
      </c>
      <c r="F2773" s="5">
        <v>0</v>
      </c>
      <c r="G2773" s="5">
        <v>0</v>
      </c>
      <c r="H2773" s="4" t="s">
        <v>11</v>
      </c>
      <c r="I2773" s="5">
        <v>0</v>
      </c>
      <c r="J2773" s="4">
        <v>45916.294710648152</v>
      </c>
    </row>
    <row r="2774" spans="1:10" x14ac:dyDescent="0.2">
      <c r="A2774" s="2" t="s">
        <v>10</v>
      </c>
      <c r="B2774" s="3" t="str">
        <f t="shared" si="53"/>
        <v>France - HCP Survey Email - June 2025</v>
      </c>
      <c r="C2774" s="3" t="str">
        <f>HYPERLINK("https://otsuka-europe-crm.veevavault.com/ui/#object/sent_email__v/VBLZ025E82GNPB2", "SE-000274465")</f>
        <v>SE-000274465</v>
      </c>
      <c r="D2774" s="4">
        <v>45923.707037037035</v>
      </c>
      <c r="E2774" s="5">
        <v>1</v>
      </c>
      <c r="F2774" s="5">
        <v>1</v>
      </c>
      <c r="G2774" s="5">
        <v>1</v>
      </c>
      <c r="H2774" s="4">
        <v>45923.707037037035</v>
      </c>
      <c r="I2774" s="5">
        <v>1</v>
      </c>
      <c r="J2774" s="4">
        <v>45916.295011574075</v>
      </c>
    </row>
    <row r="2775" spans="1:10" x14ac:dyDescent="0.2">
      <c r="A2775" s="2" t="s">
        <v>10</v>
      </c>
      <c r="B2775" s="3" t="str">
        <f t="shared" si="53"/>
        <v>France - HCP Survey Email - June 2025</v>
      </c>
      <c r="C2775" s="3" t="str">
        <f>HYPERLINK("https://otsuka-europe-crm.veevavault.com/ui/#object/sent_email__v/VBLZ025E82GNPB3", "SE-000274466")</f>
        <v>SE-000274466</v>
      </c>
      <c r="D2775" s="4" t="s">
        <v>11</v>
      </c>
      <c r="E2775" s="5">
        <v>0</v>
      </c>
      <c r="F2775" s="5">
        <v>0</v>
      </c>
      <c r="G2775" s="5">
        <v>0</v>
      </c>
      <c r="H2775" s="4" t="s">
        <v>11</v>
      </c>
      <c r="I2775" s="5">
        <v>0</v>
      </c>
      <c r="J2775" s="4">
        <v>45916.294317129628</v>
      </c>
    </row>
    <row r="2776" spans="1:10" x14ac:dyDescent="0.2">
      <c r="A2776" s="2" t="s">
        <v>10</v>
      </c>
      <c r="B2776" s="3" t="str">
        <f t="shared" si="53"/>
        <v>France - HCP Survey Email - June 2025</v>
      </c>
      <c r="C2776" s="3" t="str">
        <f>HYPERLINK("https://otsuka-europe-crm.veevavault.com/ui/#object/sent_email__v/VBLZ025E82GNPB4", "SE-000274467")</f>
        <v>SE-000274467</v>
      </c>
      <c r="D2776" s="4" t="s">
        <v>11</v>
      </c>
      <c r="E2776" s="5">
        <v>0</v>
      </c>
      <c r="F2776" s="5">
        <v>0</v>
      </c>
      <c r="G2776" s="5">
        <v>0</v>
      </c>
      <c r="H2776" s="4" t="s">
        <v>11</v>
      </c>
      <c r="I2776" s="5">
        <v>0</v>
      </c>
      <c r="J2776" s="4">
        <v>45916.294525462959</v>
      </c>
    </row>
    <row r="2777" spans="1:10" x14ac:dyDescent="0.2">
      <c r="A2777" s="2" t="s">
        <v>10</v>
      </c>
      <c r="B2777" s="3" t="str">
        <f t="shared" si="53"/>
        <v>France - HCP Survey Email - June 2025</v>
      </c>
      <c r="C2777" s="3" t="str">
        <f>HYPERLINK("https://otsuka-europe-crm.veevavault.com/ui/#object/sent_email__v/VBLZ025E82GNPB5", "SE-000274468")</f>
        <v>SE-000274468</v>
      </c>
      <c r="D2777" s="4" t="s">
        <v>11</v>
      </c>
      <c r="E2777" s="5">
        <v>0</v>
      </c>
      <c r="F2777" s="5">
        <v>0</v>
      </c>
      <c r="G2777" s="5">
        <v>0</v>
      </c>
      <c r="H2777" s="4" t="s">
        <v>11</v>
      </c>
      <c r="I2777" s="5">
        <v>0</v>
      </c>
      <c r="J2777" s="4">
        <v>45916.294664351852</v>
      </c>
    </row>
    <row r="2778" spans="1:10" x14ac:dyDescent="0.2">
      <c r="A2778" s="2" t="s">
        <v>10</v>
      </c>
      <c r="B2778" s="3" t="str">
        <f t="shared" si="53"/>
        <v>France - HCP Survey Email - June 2025</v>
      </c>
      <c r="C2778" s="3" t="str">
        <f>HYPERLINK("https://otsuka-europe-crm.veevavault.com/ui/#object/sent_email__v/VBLZ025E82GNPB6", "SE-000274469")</f>
        <v>SE-000274469</v>
      </c>
      <c r="D2778" s="4" t="s">
        <v>11</v>
      </c>
      <c r="E2778" s="5">
        <v>0</v>
      </c>
      <c r="F2778" s="5">
        <v>0</v>
      </c>
      <c r="G2778" s="5">
        <v>0</v>
      </c>
      <c r="H2778" s="4" t="s">
        <v>11</v>
      </c>
      <c r="I2778" s="5">
        <v>0</v>
      </c>
      <c r="J2778" s="4">
        <v>45916.295011574075</v>
      </c>
    </row>
    <row r="2779" spans="1:10" x14ac:dyDescent="0.2">
      <c r="A2779" s="2" t="s">
        <v>10</v>
      </c>
      <c r="B2779" s="3" t="str">
        <f t="shared" si="53"/>
        <v>France - HCP Survey Email - June 2025</v>
      </c>
      <c r="C2779" s="3" t="str">
        <f>HYPERLINK("https://otsuka-europe-crm.veevavault.com/ui/#object/sent_email__v/VBLZ025E82GNPB8", "SE-000274471")</f>
        <v>SE-000274471</v>
      </c>
      <c r="D2779" s="4" t="s">
        <v>11</v>
      </c>
      <c r="E2779" s="5">
        <v>0</v>
      </c>
      <c r="F2779" s="5">
        <v>0</v>
      </c>
      <c r="G2779" s="5">
        <v>0</v>
      </c>
      <c r="H2779" s="4" t="s">
        <v>11</v>
      </c>
      <c r="I2779" s="5">
        <v>0</v>
      </c>
      <c r="J2779" s="4">
        <v>45916.294490740744</v>
      </c>
    </row>
    <row r="2780" spans="1:10" x14ac:dyDescent="0.2">
      <c r="A2780" s="2" t="s">
        <v>10</v>
      </c>
      <c r="B2780" s="3" t="str">
        <f t="shared" si="53"/>
        <v>France - HCP Survey Email - June 2025</v>
      </c>
      <c r="C2780" s="3" t="str">
        <f>HYPERLINK("https://otsuka-europe-crm.veevavault.com/ui/#object/sent_email__v/VBLZ025E82GNPB9", "SE-000274472")</f>
        <v>SE-000274472</v>
      </c>
      <c r="D2780" s="4" t="s">
        <v>11</v>
      </c>
      <c r="E2780" s="5">
        <v>0</v>
      </c>
      <c r="F2780" s="5">
        <v>0</v>
      </c>
      <c r="G2780" s="5">
        <v>0</v>
      </c>
      <c r="H2780" s="4" t="s">
        <v>11</v>
      </c>
      <c r="I2780" s="5">
        <v>0</v>
      </c>
      <c r="J2780" s="4">
        <v>45916.294895833336</v>
      </c>
    </row>
    <row r="2781" spans="1:10" x14ac:dyDescent="0.2">
      <c r="A2781" s="2" t="s">
        <v>10</v>
      </c>
      <c r="B2781" s="3" t="str">
        <f t="shared" si="53"/>
        <v>France - HCP Survey Email - June 2025</v>
      </c>
      <c r="C2781" s="3" t="str">
        <f>HYPERLINK("https://otsuka-europe-crm.veevavault.com/ui/#object/sent_email__v/VBLZ025E82GNPBA", "SE-000274473")</f>
        <v>SE-000274473</v>
      </c>
      <c r="D2781" s="4">
        <v>45916.302662037036</v>
      </c>
      <c r="E2781" s="5">
        <v>1</v>
      </c>
      <c r="F2781" s="5">
        <v>2</v>
      </c>
      <c r="G2781" s="5">
        <v>0</v>
      </c>
      <c r="H2781" s="4" t="s">
        <v>11</v>
      </c>
      <c r="I2781" s="5">
        <v>0</v>
      </c>
      <c r="J2781" s="4">
        <v>45916.294270833336</v>
      </c>
    </row>
    <row r="2782" spans="1:10" x14ac:dyDescent="0.2">
      <c r="A2782" s="2" t="s">
        <v>10</v>
      </c>
      <c r="B2782" s="3" t="str">
        <f t="shared" si="53"/>
        <v>France - HCP Survey Email - June 2025</v>
      </c>
      <c r="C2782" s="3" t="str">
        <f>HYPERLINK("https://otsuka-europe-crm.veevavault.com/ui/#object/sent_email__v/VBLZ025E82GNPBB", "SE-000274474")</f>
        <v>SE-000274474</v>
      </c>
      <c r="D2782" s="4" t="s">
        <v>11</v>
      </c>
      <c r="E2782" s="5">
        <v>0</v>
      </c>
      <c r="F2782" s="5">
        <v>0</v>
      </c>
      <c r="G2782" s="5">
        <v>0</v>
      </c>
      <c r="H2782" s="4" t="s">
        <v>11</v>
      </c>
      <c r="I2782" s="5">
        <v>0</v>
      </c>
      <c r="J2782" s="4">
        <v>45916.29446759259</v>
      </c>
    </row>
    <row r="2783" spans="1:10" x14ac:dyDescent="0.2">
      <c r="A2783" s="2" t="s">
        <v>10</v>
      </c>
      <c r="B2783" s="3" t="str">
        <f t="shared" si="53"/>
        <v>France - HCP Survey Email - June 2025</v>
      </c>
      <c r="C2783" s="3" t="str">
        <f>HYPERLINK("https://otsuka-europe-crm.veevavault.com/ui/#object/sent_email__v/VBLZ025E82GNPBC", "SE-000274475")</f>
        <v>SE-000274475</v>
      </c>
      <c r="D2783" s="4" t="s">
        <v>11</v>
      </c>
      <c r="E2783" s="5">
        <v>0</v>
      </c>
      <c r="F2783" s="5">
        <v>0</v>
      </c>
      <c r="G2783" s="5">
        <v>0</v>
      </c>
      <c r="H2783" s="4" t="s">
        <v>11</v>
      </c>
      <c r="I2783" s="5">
        <v>0</v>
      </c>
      <c r="J2783" s="4">
        <v>45916.294687499998</v>
      </c>
    </row>
    <row r="2784" spans="1:10" x14ac:dyDescent="0.2">
      <c r="A2784" s="2" t="s">
        <v>10</v>
      </c>
      <c r="B2784" s="3" t="str">
        <f t="shared" si="53"/>
        <v>France - HCP Survey Email - June 2025</v>
      </c>
      <c r="C2784" s="3" t="str">
        <f>HYPERLINK("https://otsuka-europe-crm.veevavault.com/ui/#object/sent_email__v/VBLZ025E82GNPBD", "SE-000274476")</f>
        <v>SE-000274476</v>
      </c>
      <c r="D2784" s="4" t="s">
        <v>11</v>
      </c>
      <c r="E2784" s="5">
        <v>0</v>
      </c>
      <c r="F2784" s="5">
        <v>0</v>
      </c>
      <c r="G2784" s="5">
        <v>0</v>
      </c>
      <c r="H2784" s="4" t="s">
        <v>11</v>
      </c>
      <c r="I2784" s="5">
        <v>0</v>
      </c>
      <c r="J2784" s="4">
        <v>45916.294803240744</v>
      </c>
    </row>
    <row r="2785" spans="1:10" x14ac:dyDescent="0.2">
      <c r="A2785" s="2" t="s">
        <v>10</v>
      </c>
      <c r="B2785" s="3" t="str">
        <f t="shared" si="53"/>
        <v>France - HCP Survey Email - June 2025</v>
      </c>
      <c r="C2785" s="3" t="str">
        <f>HYPERLINK("https://otsuka-europe-crm.veevavault.com/ui/#object/sent_email__v/VBLZ025E82GNPBF", "SE-000274478")</f>
        <v>SE-000274478</v>
      </c>
      <c r="D2785" s="4" t="s">
        <v>11</v>
      </c>
      <c r="E2785" s="5">
        <v>0</v>
      </c>
      <c r="F2785" s="5">
        <v>0</v>
      </c>
      <c r="G2785" s="5">
        <v>0</v>
      </c>
      <c r="H2785" s="4" t="s">
        <v>11</v>
      </c>
      <c r="I2785" s="5">
        <v>0</v>
      </c>
      <c r="J2785" s="4">
        <v>45916.29446759259</v>
      </c>
    </row>
    <row r="2786" spans="1:10" x14ac:dyDescent="0.2">
      <c r="A2786" s="2" t="s">
        <v>10</v>
      </c>
      <c r="B2786" s="3" t="str">
        <f t="shared" si="53"/>
        <v>France - HCP Survey Email - June 2025</v>
      </c>
      <c r="C2786" s="3" t="str">
        <f>HYPERLINK("https://otsuka-europe-crm.veevavault.com/ui/#object/sent_email__v/VBLZ025E82GNPBG", "SE-000274479")</f>
        <v>SE-000274479</v>
      </c>
      <c r="D2786" s="4" t="s">
        <v>11</v>
      </c>
      <c r="E2786" s="5">
        <v>0</v>
      </c>
      <c r="F2786" s="5">
        <v>0</v>
      </c>
      <c r="G2786" s="5">
        <v>0</v>
      </c>
      <c r="H2786" s="4" t="s">
        <v>11</v>
      </c>
      <c r="I2786" s="5">
        <v>0</v>
      </c>
      <c r="J2786" s="4">
        <v>45916.294733796298</v>
      </c>
    </row>
    <row r="2787" spans="1:10" x14ac:dyDescent="0.2">
      <c r="A2787" s="2" t="s">
        <v>10</v>
      </c>
      <c r="B2787" s="3" t="str">
        <f t="shared" si="53"/>
        <v>France - HCP Survey Email - June 2025</v>
      </c>
      <c r="C2787" s="3" t="str">
        <f>HYPERLINK("https://otsuka-europe-crm.veevavault.com/ui/#object/sent_email__v/VBLZ025E82GNPBH", "SE-000274480")</f>
        <v>SE-000274480</v>
      </c>
      <c r="D2787" s="4" t="s">
        <v>11</v>
      </c>
      <c r="E2787" s="5">
        <v>0</v>
      </c>
      <c r="F2787" s="5">
        <v>0</v>
      </c>
      <c r="G2787" s="5">
        <v>0</v>
      </c>
      <c r="H2787" s="4" t="s">
        <v>11</v>
      </c>
      <c r="I2787" s="5">
        <v>0</v>
      </c>
      <c r="J2787" s="4">
        <v>45916.295023148145</v>
      </c>
    </row>
    <row r="2788" spans="1:10" x14ac:dyDescent="0.2">
      <c r="A2788" s="2" t="s">
        <v>10</v>
      </c>
      <c r="B2788" s="3" t="str">
        <f t="shared" si="53"/>
        <v>France - HCP Survey Email - June 2025</v>
      </c>
      <c r="C2788" s="3" t="str">
        <f>HYPERLINK("https://otsuka-europe-crm.veevavault.com/ui/#object/sent_email__v/VBLZ025E82GNPBI", "SE-000274481")</f>
        <v>SE-000274481</v>
      </c>
      <c r="D2788" s="4" t="s">
        <v>11</v>
      </c>
      <c r="E2788" s="5">
        <v>0</v>
      </c>
      <c r="F2788" s="5">
        <v>0</v>
      </c>
      <c r="G2788" s="5">
        <v>0</v>
      </c>
      <c r="H2788" s="4" t="s">
        <v>11</v>
      </c>
      <c r="I2788" s="5">
        <v>0</v>
      </c>
      <c r="J2788" s="4">
        <v>45916.294293981482</v>
      </c>
    </row>
    <row r="2789" spans="1:10" x14ac:dyDescent="0.2">
      <c r="A2789" s="2" t="s">
        <v>10</v>
      </c>
      <c r="B2789" s="3" t="str">
        <f t="shared" si="53"/>
        <v>France - HCP Survey Email - June 2025</v>
      </c>
      <c r="C2789" s="3" t="str">
        <f>HYPERLINK("https://otsuka-europe-crm.veevavault.com/ui/#object/sent_email__v/VBLZ025E82GNPBJ", "SE-000274482")</f>
        <v>SE-000274482</v>
      </c>
      <c r="D2789" s="4" t="s">
        <v>11</v>
      </c>
      <c r="E2789" s="5">
        <v>0</v>
      </c>
      <c r="F2789" s="5">
        <v>0</v>
      </c>
      <c r="G2789" s="5">
        <v>0</v>
      </c>
      <c r="H2789" s="4" t="s">
        <v>11</v>
      </c>
      <c r="I2789" s="5">
        <v>0</v>
      </c>
      <c r="J2789" s="4">
        <v>45916.294525462959</v>
      </c>
    </row>
    <row r="2790" spans="1:10" x14ac:dyDescent="0.2">
      <c r="A2790" s="2" t="s">
        <v>10</v>
      </c>
      <c r="B2790" s="3" t="str">
        <f t="shared" si="53"/>
        <v>France - HCP Survey Email - June 2025</v>
      </c>
      <c r="C2790" s="3" t="str">
        <f>HYPERLINK("https://otsuka-europe-crm.veevavault.com/ui/#object/sent_email__v/VBLZ025E82GNPBK", "SE-000274483")</f>
        <v>SE-000274483</v>
      </c>
      <c r="D2790" s="4" t="s">
        <v>11</v>
      </c>
      <c r="E2790" s="5">
        <v>0</v>
      </c>
      <c r="F2790" s="5">
        <v>0</v>
      </c>
      <c r="G2790" s="5">
        <v>0</v>
      </c>
      <c r="H2790" s="4" t="s">
        <v>11</v>
      </c>
      <c r="I2790" s="5">
        <v>0</v>
      </c>
      <c r="J2790" s="4">
        <v>45916.29478009259</v>
      </c>
    </row>
    <row r="2791" spans="1:10" x14ac:dyDescent="0.2">
      <c r="A2791" s="2" t="s">
        <v>10</v>
      </c>
      <c r="B2791" s="3" t="str">
        <f t="shared" si="53"/>
        <v>France - HCP Survey Email - June 2025</v>
      </c>
      <c r="C2791" s="3" t="str">
        <f>HYPERLINK("https://otsuka-europe-crm.veevavault.com/ui/#object/sent_email__v/VBLZ025E82GNPBL", "SE-000274484")</f>
        <v>SE-000274484</v>
      </c>
      <c r="D2791" s="4" t="s">
        <v>11</v>
      </c>
      <c r="E2791" s="5">
        <v>0</v>
      </c>
      <c r="F2791" s="5">
        <v>0</v>
      </c>
      <c r="G2791" s="5">
        <v>0</v>
      </c>
      <c r="H2791" s="4" t="s">
        <v>11</v>
      </c>
      <c r="I2791" s="5">
        <v>0</v>
      </c>
      <c r="J2791" s="4">
        <v>45916.29420138889</v>
      </c>
    </row>
    <row r="2792" spans="1:10" x14ac:dyDescent="0.2">
      <c r="A2792" s="2" t="s">
        <v>10</v>
      </c>
      <c r="B2792" s="3" t="str">
        <f t="shared" si="53"/>
        <v>France - HCP Survey Email - June 2025</v>
      </c>
      <c r="C2792" s="3" t="str">
        <f>HYPERLINK("https://otsuka-europe-crm.veevavault.com/ui/#object/sent_email__v/VBLZ025E82GNPBM", "SE-000274485")</f>
        <v>SE-000274485</v>
      </c>
      <c r="D2792" s="4" t="s">
        <v>11</v>
      </c>
      <c r="E2792" s="5">
        <v>0</v>
      </c>
      <c r="F2792" s="5">
        <v>0</v>
      </c>
      <c r="G2792" s="5">
        <v>0</v>
      </c>
      <c r="H2792" s="4" t="s">
        <v>11</v>
      </c>
      <c r="I2792" s="5">
        <v>0</v>
      </c>
      <c r="J2792" s="4">
        <v>45916.294340277775</v>
      </c>
    </row>
    <row r="2793" spans="1:10" x14ac:dyDescent="0.2">
      <c r="A2793" s="2" t="s">
        <v>10</v>
      </c>
      <c r="B2793" s="3" t="str">
        <f t="shared" si="53"/>
        <v>France - HCP Survey Email - June 2025</v>
      </c>
      <c r="C2793" s="3" t="str">
        <f>HYPERLINK("https://otsuka-europe-crm.veevavault.com/ui/#object/sent_email__v/VBLZ025E82GNPBN", "SE-000274486")</f>
        <v>SE-000274486</v>
      </c>
      <c r="D2793" s="4" t="s">
        <v>11</v>
      </c>
      <c r="E2793" s="5">
        <v>0</v>
      </c>
      <c r="F2793" s="5">
        <v>0</v>
      </c>
      <c r="G2793" s="5">
        <v>0</v>
      </c>
      <c r="H2793" s="4" t="s">
        <v>11</v>
      </c>
      <c r="I2793" s="5">
        <v>0</v>
      </c>
      <c r="J2793" s="4">
        <v>45916.294618055559</v>
      </c>
    </row>
    <row r="2794" spans="1:10" x14ac:dyDescent="0.2">
      <c r="A2794" s="2" t="s">
        <v>10</v>
      </c>
      <c r="B2794" s="3" t="str">
        <f t="shared" si="53"/>
        <v>France - HCP Survey Email - June 2025</v>
      </c>
      <c r="C2794" s="3" t="str">
        <f>HYPERLINK("https://otsuka-europe-crm.veevavault.com/ui/#object/sent_email__v/VBLZ025E82GNPBO", "SE-000274487")</f>
        <v>SE-000274487</v>
      </c>
      <c r="D2794" s="4">
        <v>45917.510706018518</v>
      </c>
      <c r="E2794" s="5">
        <v>1</v>
      </c>
      <c r="F2794" s="5">
        <v>3</v>
      </c>
      <c r="G2794" s="5">
        <v>0</v>
      </c>
      <c r="H2794" s="4" t="s">
        <v>11</v>
      </c>
      <c r="I2794" s="5">
        <v>0</v>
      </c>
      <c r="J2794" s="4">
        <v>45916.294861111113</v>
      </c>
    </row>
    <row r="2795" spans="1:10" x14ac:dyDescent="0.2">
      <c r="A2795" s="2" t="s">
        <v>10</v>
      </c>
      <c r="B2795" s="3" t="str">
        <f t="shared" si="53"/>
        <v>France - HCP Survey Email - June 2025</v>
      </c>
      <c r="C2795" s="3" t="str">
        <f>HYPERLINK("https://otsuka-europe-crm.veevavault.com/ui/#object/sent_email__v/VBLZ025E82GNPBP", "SE-000274488")</f>
        <v>SE-000274488</v>
      </c>
      <c r="D2795" s="4">
        <v>45918.849895833337</v>
      </c>
      <c r="E2795" s="5">
        <v>1</v>
      </c>
      <c r="F2795" s="5">
        <v>1</v>
      </c>
      <c r="G2795" s="5">
        <v>0</v>
      </c>
      <c r="H2795" s="4" t="s">
        <v>11</v>
      </c>
      <c r="I2795" s="5">
        <v>0</v>
      </c>
      <c r="J2795" s="4">
        <v>45916.294293981482</v>
      </c>
    </row>
    <row r="2796" spans="1:10" x14ac:dyDescent="0.2">
      <c r="A2796" s="2" t="s">
        <v>10</v>
      </c>
      <c r="B2796" s="3" t="str">
        <f t="shared" si="53"/>
        <v>France - HCP Survey Email - June 2025</v>
      </c>
      <c r="C2796" s="3" t="str">
        <f>HYPERLINK("https://otsuka-europe-crm.veevavault.com/ui/#object/sent_email__v/VBLZ025E82GNPBQ", "SE-000274489")</f>
        <v>SE-000274489</v>
      </c>
      <c r="D2796" s="4">
        <v>45916.687060185184</v>
      </c>
      <c r="E2796" s="5">
        <v>1</v>
      </c>
      <c r="F2796" s="5">
        <v>1</v>
      </c>
      <c r="G2796" s="5">
        <v>0</v>
      </c>
      <c r="H2796" s="4" t="s">
        <v>11</v>
      </c>
      <c r="I2796" s="5">
        <v>0</v>
      </c>
      <c r="J2796" s="4">
        <v>45916.294432870367</v>
      </c>
    </row>
    <row r="2797" spans="1:10" x14ac:dyDescent="0.2">
      <c r="A2797" s="2" t="s">
        <v>10</v>
      </c>
      <c r="B2797" s="3" t="str">
        <f t="shared" si="53"/>
        <v>France - HCP Survey Email - June 2025</v>
      </c>
      <c r="C2797" s="3" t="str">
        <f>HYPERLINK("https://otsuka-europe-crm.veevavault.com/ui/#object/sent_email__v/VBLZ025E82GNPBR", "SE-000274490")</f>
        <v>SE-000274490</v>
      </c>
      <c r="D2797" s="4" t="s">
        <v>11</v>
      </c>
      <c r="E2797" s="5">
        <v>0</v>
      </c>
      <c r="F2797" s="5">
        <v>0</v>
      </c>
      <c r="G2797" s="5">
        <v>0</v>
      </c>
      <c r="H2797" s="4" t="s">
        <v>11</v>
      </c>
      <c r="I2797" s="5">
        <v>0</v>
      </c>
      <c r="J2797" s="4">
        <v>45916.294652777775</v>
      </c>
    </row>
    <row r="2798" spans="1:10" x14ac:dyDescent="0.2">
      <c r="A2798" s="2" t="s">
        <v>10</v>
      </c>
      <c r="B2798" s="3" t="str">
        <f t="shared" si="53"/>
        <v>France - HCP Survey Email - June 2025</v>
      </c>
      <c r="C2798" s="3" t="str">
        <f>HYPERLINK("https://otsuka-europe-crm.veevavault.com/ui/#object/sent_email__v/VBLZ025E82GNPBS", "SE-000274491")</f>
        <v>SE-000274491</v>
      </c>
      <c r="D2798" s="4">
        <v>45916.296157407407</v>
      </c>
      <c r="E2798" s="5">
        <v>1</v>
      </c>
      <c r="F2798" s="5">
        <v>2</v>
      </c>
      <c r="G2798" s="5">
        <v>0</v>
      </c>
      <c r="H2798" s="4" t="s">
        <v>11</v>
      </c>
      <c r="I2798" s="5">
        <v>0</v>
      </c>
      <c r="J2798" s="4">
        <v>45916.294965277775</v>
      </c>
    </row>
    <row r="2799" spans="1:10" x14ac:dyDescent="0.2">
      <c r="A2799" s="2" t="s">
        <v>10</v>
      </c>
      <c r="B2799" s="3" t="str">
        <f t="shared" si="53"/>
        <v>France - HCP Survey Email - June 2025</v>
      </c>
      <c r="C2799" s="3" t="str">
        <f>HYPERLINK("https://otsuka-europe-crm.veevavault.com/ui/#object/sent_email__v/VBLZ025E82GNPBT", "SE-000274492")</f>
        <v>SE-000274492</v>
      </c>
      <c r="D2799" s="4" t="s">
        <v>11</v>
      </c>
      <c r="E2799" s="5">
        <v>0</v>
      </c>
      <c r="F2799" s="5">
        <v>0</v>
      </c>
      <c r="G2799" s="5">
        <v>0</v>
      </c>
      <c r="H2799" s="4" t="s">
        <v>11</v>
      </c>
      <c r="I2799" s="5">
        <v>0</v>
      </c>
      <c r="J2799" s="4">
        <v>45916.294259259259</v>
      </c>
    </row>
    <row r="2800" spans="1:10" x14ac:dyDescent="0.2">
      <c r="A2800" s="2" t="s">
        <v>10</v>
      </c>
      <c r="B2800" s="3" t="str">
        <f t="shared" si="53"/>
        <v>France - HCP Survey Email - June 2025</v>
      </c>
      <c r="C2800" s="3" t="str">
        <f>HYPERLINK("https://otsuka-europe-crm.veevavault.com/ui/#object/sent_email__v/VBLZ025E82GNPBU", "SE-000274493")</f>
        <v>SE-000274493</v>
      </c>
      <c r="D2800" s="4" t="s">
        <v>11</v>
      </c>
      <c r="E2800" s="5">
        <v>0</v>
      </c>
      <c r="F2800" s="5">
        <v>0</v>
      </c>
      <c r="G2800" s="5">
        <v>0</v>
      </c>
      <c r="H2800" s="4" t="s">
        <v>11</v>
      </c>
      <c r="I2800" s="5">
        <v>0</v>
      </c>
      <c r="J2800" s="4">
        <v>45916.294421296298</v>
      </c>
    </row>
    <row r="2801" spans="1:10" x14ac:dyDescent="0.2">
      <c r="A2801" s="2" t="s">
        <v>10</v>
      </c>
      <c r="B2801" s="3" t="str">
        <f t="shared" si="53"/>
        <v>France - HCP Survey Email - June 2025</v>
      </c>
      <c r="C2801" s="3" t="str">
        <f>HYPERLINK("https://otsuka-europe-crm.veevavault.com/ui/#object/sent_email__v/VBLZ025E82GNPBV", "SE-000274494")</f>
        <v>SE-000274494</v>
      </c>
      <c r="D2801" s="4" t="s">
        <v>11</v>
      </c>
      <c r="E2801" s="5">
        <v>0</v>
      </c>
      <c r="F2801" s="5">
        <v>0</v>
      </c>
      <c r="G2801" s="5">
        <v>0</v>
      </c>
      <c r="H2801" s="4" t="s">
        <v>11</v>
      </c>
      <c r="I2801" s="5">
        <v>0</v>
      </c>
      <c r="J2801" s="4">
        <v>45916.294745370367</v>
      </c>
    </row>
    <row r="2802" spans="1:10" x14ac:dyDescent="0.2">
      <c r="A2802" s="2" t="s">
        <v>10</v>
      </c>
      <c r="B2802" s="3" t="str">
        <f t="shared" si="53"/>
        <v>France - HCP Survey Email - June 2025</v>
      </c>
      <c r="C2802" s="3" t="str">
        <f>HYPERLINK("https://otsuka-europe-crm.veevavault.com/ui/#object/sent_email__v/VBLZ025E82GNPBW", "SE-000274495")</f>
        <v>SE-000274495</v>
      </c>
      <c r="D2802" s="4" t="s">
        <v>11</v>
      </c>
      <c r="E2802" s="5">
        <v>0</v>
      </c>
      <c r="F2802" s="5">
        <v>0</v>
      </c>
      <c r="G2802" s="5">
        <v>0</v>
      </c>
      <c r="H2802" s="4" t="s">
        <v>11</v>
      </c>
      <c r="I2802" s="5">
        <v>0</v>
      </c>
      <c r="J2802" s="4">
        <v>45916.294965277775</v>
      </c>
    </row>
    <row r="2803" spans="1:10" x14ac:dyDescent="0.2">
      <c r="A2803" s="2" t="s">
        <v>10</v>
      </c>
      <c r="B2803" s="3" t="str">
        <f t="shared" si="53"/>
        <v>France - HCP Survey Email - June 2025</v>
      </c>
      <c r="C2803" s="3" t="str">
        <f>HYPERLINK("https://otsuka-europe-crm.veevavault.com/ui/#object/sent_email__v/VBLZ025E82GNPBX", "SE-000274496")</f>
        <v>SE-000274496</v>
      </c>
      <c r="D2803" s="4" t="s">
        <v>11</v>
      </c>
      <c r="E2803" s="5">
        <v>0</v>
      </c>
      <c r="F2803" s="5">
        <v>0</v>
      </c>
      <c r="G2803" s="5">
        <v>0</v>
      </c>
      <c r="H2803" s="4" t="s">
        <v>11</v>
      </c>
      <c r="I2803" s="5">
        <v>0</v>
      </c>
      <c r="J2803" s="4">
        <v>45916.294409722221</v>
      </c>
    </row>
    <row r="2804" spans="1:10" x14ac:dyDescent="0.2">
      <c r="A2804" s="2" t="s">
        <v>10</v>
      </c>
      <c r="B2804" s="3" t="str">
        <f t="shared" si="53"/>
        <v>France - HCP Survey Email - June 2025</v>
      </c>
      <c r="C2804" s="3" t="str">
        <f>HYPERLINK("https://otsuka-europe-crm.veevavault.com/ui/#object/sent_email__v/VBLZ025E82GNPBY", "SE-000274497")</f>
        <v>SE-000274497</v>
      </c>
      <c r="D2804" s="4" t="s">
        <v>11</v>
      </c>
      <c r="E2804" s="5">
        <v>0</v>
      </c>
      <c r="F2804" s="5">
        <v>0</v>
      </c>
      <c r="G2804" s="5">
        <v>0</v>
      </c>
      <c r="H2804" s="4" t="s">
        <v>11</v>
      </c>
      <c r="I2804" s="5">
        <v>0</v>
      </c>
      <c r="J2804" s="4">
        <v>45916.294606481482</v>
      </c>
    </row>
    <row r="2805" spans="1:10" x14ac:dyDescent="0.2">
      <c r="A2805" s="2" t="s">
        <v>10</v>
      </c>
      <c r="B2805" s="3" t="str">
        <f t="shared" si="53"/>
        <v>France - HCP Survey Email - June 2025</v>
      </c>
      <c r="C2805" s="3" t="str">
        <f>HYPERLINK("https://otsuka-europe-crm.veevavault.com/ui/#object/sent_email__v/VBLZ025E82GNPBZ", "SE-000274498")</f>
        <v>SE-000274498</v>
      </c>
      <c r="D2805" s="4" t="s">
        <v>11</v>
      </c>
      <c r="E2805" s="5">
        <v>0</v>
      </c>
      <c r="F2805" s="5">
        <v>0</v>
      </c>
      <c r="G2805" s="5">
        <v>0</v>
      </c>
      <c r="H2805" s="4" t="s">
        <v>11</v>
      </c>
      <c r="I2805" s="5">
        <v>0</v>
      </c>
      <c r="J2805" s="4">
        <v>45916.294849537036</v>
      </c>
    </row>
    <row r="2806" spans="1:10" x14ac:dyDescent="0.2">
      <c r="A2806" s="2" t="s">
        <v>10</v>
      </c>
      <c r="B2806" s="3" t="str">
        <f t="shared" si="53"/>
        <v>France - HCP Survey Email - June 2025</v>
      </c>
      <c r="C2806" s="3" t="str">
        <f>HYPERLINK("https://otsuka-europe-crm.veevavault.com/ui/#object/sent_email__v/VBLZ025E82GNPC0", "SE-000274499")</f>
        <v>SE-000274499</v>
      </c>
      <c r="D2806" s="4">
        <v>45916.295995370368</v>
      </c>
      <c r="E2806" s="5">
        <v>1</v>
      </c>
      <c r="F2806" s="5">
        <v>1</v>
      </c>
      <c r="G2806" s="5">
        <v>0</v>
      </c>
      <c r="H2806" s="4" t="s">
        <v>11</v>
      </c>
      <c r="I2806" s="5">
        <v>0</v>
      </c>
      <c r="J2806" s="4">
        <v>45916.294189814813</v>
      </c>
    </row>
    <row r="2807" spans="1:10" x14ac:dyDescent="0.2">
      <c r="A2807" s="2" t="s">
        <v>10</v>
      </c>
      <c r="B2807" s="3" t="str">
        <f t="shared" si="53"/>
        <v>France - HCP Survey Email - June 2025</v>
      </c>
      <c r="C2807" s="3" t="str">
        <f>HYPERLINK("https://otsuka-europe-crm.veevavault.com/ui/#object/sent_email__v/VBLZ025E82GNPC1", "SE-000274500")</f>
        <v>SE-000274500</v>
      </c>
      <c r="D2807" s="4" t="s">
        <v>11</v>
      </c>
      <c r="E2807" s="5">
        <v>0</v>
      </c>
      <c r="F2807" s="5">
        <v>0</v>
      </c>
      <c r="G2807" s="5">
        <v>0</v>
      </c>
      <c r="H2807" s="4" t="s">
        <v>11</v>
      </c>
      <c r="I2807" s="5">
        <v>0</v>
      </c>
      <c r="J2807" s="4">
        <v>45916.29446759259</v>
      </c>
    </row>
    <row r="2808" spans="1:10" x14ac:dyDescent="0.2">
      <c r="A2808" s="2" t="s">
        <v>10</v>
      </c>
      <c r="B2808" s="3" t="str">
        <f t="shared" si="53"/>
        <v>France - HCP Survey Email - June 2025</v>
      </c>
      <c r="C2808" s="3" t="str">
        <f>HYPERLINK("https://otsuka-europe-crm.veevavault.com/ui/#object/sent_email__v/VBLZ025E82GNPC2", "SE-000274501")</f>
        <v>SE-000274501</v>
      </c>
      <c r="D2808" s="4" t="s">
        <v>11</v>
      </c>
      <c r="E2808" s="5">
        <v>0</v>
      </c>
      <c r="F2808" s="5">
        <v>0</v>
      </c>
      <c r="G2808" s="5">
        <v>0</v>
      </c>
      <c r="H2808" s="4" t="s">
        <v>11</v>
      </c>
      <c r="I2808" s="5">
        <v>0</v>
      </c>
      <c r="J2808" s="4">
        <v>45916.294641203705</v>
      </c>
    </row>
    <row r="2809" spans="1:10" x14ac:dyDescent="0.2">
      <c r="A2809" s="2" t="s">
        <v>10</v>
      </c>
      <c r="B2809" s="3" t="str">
        <f t="shared" si="53"/>
        <v>France - HCP Survey Email - June 2025</v>
      </c>
      <c r="C2809" s="3" t="str">
        <f>HYPERLINK("https://otsuka-europe-crm.veevavault.com/ui/#object/sent_email__v/VBLZ025E82GNPC3", "SE-000274502")</f>
        <v>SE-000274502</v>
      </c>
      <c r="D2809" s="4">
        <v>45916.295590277776</v>
      </c>
      <c r="E2809" s="5">
        <v>1</v>
      </c>
      <c r="F2809" s="5">
        <v>2</v>
      </c>
      <c r="G2809" s="5">
        <v>1</v>
      </c>
      <c r="H2809" s="4">
        <v>45916.295590277776</v>
      </c>
      <c r="I2809" s="5">
        <v>2</v>
      </c>
      <c r="J2809" s="4">
        <v>45916.294918981483</v>
      </c>
    </row>
    <row r="2810" spans="1:10" x14ac:dyDescent="0.2">
      <c r="A2810" s="2" t="s">
        <v>10</v>
      </c>
      <c r="B2810" s="3" t="str">
        <f t="shared" si="53"/>
        <v>France - HCP Survey Email - June 2025</v>
      </c>
      <c r="C2810" s="3" t="str">
        <f>HYPERLINK("https://otsuka-europe-crm.veevavault.com/ui/#object/sent_email__v/VBLZ025E82GNPC4", "SE-000274503")</f>
        <v>SE-000274503</v>
      </c>
      <c r="D2810" s="4" t="s">
        <v>11</v>
      </c>
      <c r="E2810" s="5">
        <v>0</v>
      </c>
      <c r="F2810" s="5">
        <v>0</v>
      </c>
      <c r="G2810" s="5">
        <v>0</v>
      </c>
      <c r="H2810" s="4" t="s">
        <v>11</v>
      </c>
      <c r="I2810" s="5">
        <v>0</v>
      </c>
      <c r="J2810" s="4">
        <v>45916.294247685182</v>
      </c>
    </row>
    <row r="2811" spans="1:10" x14ac:dyDescent="0.2">
      <c r="A2811" s="2" t="s">
        <v>10</v>
      </c>
      <c r="B2811" s="3" t="str">
        <f t="shared" si="53"/>
        <v>France - HCP Survey Email - June 2025</v>
      </c>
      <c r="C2811" s="3" t="str">
        <f>HYPERLINK("https://otsuka-europe-crm.veevavault.com/ui/#object/sent_email__v/VBLZ025E82GNPC5", "SE-000274504")</f>
        <v>SE-000274504</v>
      </c>
      <c r="D2811" s="4" t="s">
        <v>11</v>
      </c>
      <c r="E2811" s="5">
        <v>0</v>
      </c>
      <c r="F2811" s="5">
        <v>0</v>
      </c>
      <c r="G2811" s="5">
        <v>0</v>
      </c>
      <c r="H2811" s="4" t="s">
        <v>11</v>
      </c>
      <c r="I2811" s="5">
        <v>0</v>
      </c>
      <c r="J2811" s="4">
        <v>45916.294409722221</v>
      </c>
    </row>
    <row r="2812" spans="1:10" x14ac:dyDescent="0.2">
      <c r="A2812" s="2" t="s">
        <v>10</v>
      </c>
      <c r="B2812" s="3" t="str">
        <f t="shared" si="53"/>
        <v>France - HCP Survey Email - June 2025</v>
      </c>
      <c r="C2812" s="3" t="str">
        <f>HYPERLINK("https://otsuka-europe-crm.veevavault.com/ui/#object/sent_email__v/VBLZ025E82GNPC7", "SE-000274506")</f>
        <v>SE-000274506</v>
      </c>
      <c r="D2812" s="4" t="s">
        <v>11</v>
      </c>
      <c r="E2812" s="5">
        <v>0</v>
      </c>
      <c r="F2812" s="5">
        <v>0</v>
      </c>
      <c r="G2812" s="5">
        <v>0</v>
      </c>
      <c r="H2812" s="4" t="s">
        <v>11</v>
      </c>
      <c r="I2812" s="5">
        <v>0</v>
      </c>
      <c r="J2812" s="4">
        <v>45916.295011574075</v>
      </c>
    </row>
    <row r="2813" spans="1:10" x14ac:dyDescent="0.2">
      <c r="A2813" s="2" t="s">
        <v>10</v>
      </c>
      <c r="B2813" s="3" t="str">
        <f t="shared" si="53"/>
        <v>France - HCP Survey Email - June 2025</v>
      </c>
      <c r="C2813" s="3" t="str">
        <f>HYPERLINK("https://otsuka-europe-crm.veevavault.com/ui/#object/sent_email__v/VBLZ025E82GNPC8", "SE-000274507")</f>
        <v>SE-000274507</v>
      </c>
      <c r="D2813" s="4" t="s">
        <v>11</v>
      </c>
      <c r="E2813" s="5">
        <v>0</v>
      </c>
      <c r="F2813" s="5">
        <v>0</v>
      </c>
      <c r="G2813" s="5">
        <v>0</v>
      </c>
      <c r="H2813" s="4" t="s">
        <v>11</v>
      </c>
      <c r="I2813" s="5">
        <v>0</v>
      </c>
      <c r="J2813" s="4">
        <v>45916.294282407405</v>
      </c>
    </row>
    <row r="2814" spans="1:10" x14ac:dyDescent="0.2">
      <c r="A2814" s="2" t="s">
        <v>10</v>
      </c>
      <c r="B2814" s="3" t="str">
        <f t="shared" si="53"/>
        <v>France - HCP Survey Email - June 2025</v>
      </c>
      <c r="C2814" s="3" t="str">
        <f>HYPERLINK("https://otsuka-europe-crm.veevavault.com/ui/#object/sent_email__v/VBLZ025E82GNPC9", "SE-000274508")</f>
        <v>SE-000274508</v>
      </c>
      <c r="D2814" s="4" t="s">
        <v>11</v>
      </c>
      <c r="E2814" s="5">
        <v>0</v>
      </c>
      <c r="F2814" s="5">
        <v>0</v>
      </c>
      <c r="G2814" s="5">
        <v>0</v>
      </c>
      <c r="H2814" s="4" t="s">
        <v>11</v>
      </c>
      <c r="I2814" s="5">
        <v>0</v>
      </c>
      <c r="J2814" s="4">
        <v>45916.294664351852</v>
      </c>
    </row>
    <row r="2815" spans="1:10" x14ac:dyDescent="0.2">
      <c r="A2815" s="2" t="s">
        <v>10</v>
      </c>
      <c r="B2815" s="3" t="str">
        <f t="shared" si="53"/>
        <v>France - HCP Survey Email - June 2025</v>
      </c>
      <c r="C2815" s="3" t="str">
        <f>HYPERLINK("https://otsuka-europe-crm.veevavault.com/ui/#object/sent_email__v/VBLZ025E82GNPCA", "SE-000274509")</f>
        <v>SE-000274509</v>
      </c>
      <c r="D2815" s="4" t="s">
        <v>11</v>
      </c>
      <c r="E2815" s="5">
        <v>0</v>
      </c>
      <c r="F2815" s="5">
        <v>0</v>
      </c>
      <c r="G2815" s="5">
        <v>0</v>
      </c>
      <c r="H2815" s="4" t="s">
        <v>11</v>
      </c>
      <c r="I2815" s="5">
        <v>0</v>
      </c>
      <c r="J2815" s="4">
        <v>45916.294861111113</v>
      </c>
    </row>
    <row r="2816" spans="1:10" x14ac:dyDescent="0.2">
      <c r="A2816" s="2" t="s">
        <v>10</v>
      </c>
      <c r="B2816" s="3" t="str">
        <f t="shared" si="53"/>
        <v>France - HCP Survey Email - June 2025</v>
      </c>
      <c r="C2816" s="3" t="str">
        <f>HYPERLINK("https://otsuka-europe-crm.veevavault.com/ui/#object/sent_email__v/VBLZ025E82GNPCB", "SE-000274510")</f>
        <v>SE-000274510</v>
      </c>
      <c r="D2816" s="4" t="s">
        <v>11</v>
      </c>
      <c r="E2816" s="5">
        <v>0</v>
      </c>
      <c r="F2816" s="5">
        <v>0</v>
      </c>
      <c r="G2816" s="5">
        <v>0</v>
      </c>
      <c r="H2816" s="4" t="s">
        <v>11</v>
      </c>
      <c r="I2816" s="5">
        <v>0</v>
      </c>
      <c r="J2816" s="4">
        <v>45916.294270833336</v>
      </c>
    </row>
    <row r="2817" spans="1:10" x14ac:dyDescent="0.2">
      <c r="A2817" s="2" t="s">
        <v>10</v>
      </c>
      <c r="B2817" s="3" t="str">
        <f t="shared" ref="B2817:B2880" si="54">HYPERLINK("https://otsuka-europe-crm.veevavault.com/ui/#object/approved_document__v/V5OZ025E82TMV97", "France - HCP Survey Email - June 2025")</f>
        <v>France - HCP Survey Email - June 2025</v>
      </c>
      <c r="C2817" s="3" t="str">
        <f>HYPERLINK("https://otsuka-europe-crm.veevavault.com/ui/#object/sent_email__v/VBLZ025E82GNPCC", "SE-000274511")</f>
        <v>SE-000274511</v>
      </c>
      <c r="D2817" s="4" t="s">
        <v>11</v>
      </c>
      <c r="E2817" s="5">
        <v>0</v>
      </c>
      <c r="F2817" s="5">
        <v>0</v>
      </c>
      <c r="G2817" s="5">
        <v>0</v>
      </c>
      <c r="H2817" s="4" t="s">
        <v>11</v>
      </c>
      <c r="I2817" s="5">
        <v>0</v>
      </c>
      <c r="J2817" s="4">
        <v>45916.294421296298</v>
      </c>
    </row>
    <row r="2818" spans="1:10" x14ac:dyDescent="0.2">
      <c r="A2818" s="2" t="s">
        <v>10</v>
      </c>
      <c r="B2818" s="3" t="str">
        <f t="shared" si="54"/>
        <v>France - HCP Survey Email - June 2025</v>
      </c>
      <c r="C2818" s="3" t="str">
        <f>HYPERLINK("https://otsuka-europe-crm.veevavault.com/ui/#object/sent_email__v/VBLZ025E82GNPCD", "SE-000274512")</f>
        <v>SE-000274512</v>
      </c>
      <c r="D2818" s="4" t="s">
        <v>11</v>
      </c>
      <c r="E2818" s="5">
        <v>0</v>
      </c>
      <c r="F2818" s="5">
        <v>0</v>
      </c>
      <c r="G2818" s="5">
        <v>0</v>
      </c>
      <c r="H2818" s="4" t="s">
        <v>11</v>
      </c>
      <c r="I2818" s="5">
        <v>0</v>
      </c>
      <c r="J2818" s="4">
        <v>45916.294687499998</v>
      </c>
    </row>
    <row r="2819" spans="1:10" x14ac:dyDescent="0.2">
      <c r="A2819" s="2" t="s">
        <v>10</v>
      </c>
      <c r="B2819" s="3" t="str">
        <f t="shared" si="54"/>
        <v>France - HCP Survey Email - June 2025</v>
      </c>
      <c r="C2819" s="3" t="str">
        <f>HYPERLINK("https://otsuka-europe-crm.veevavault.com/ui/#object/sent_email__v/VBLZ025E82GNPCE", "SE-000274513")</f>
        <v>SE-000274513</v>
      </c>
      <c r="D2819" s="4" t="s">
        <v>11</v>
      </c>
      <c r="E2819" s="5">
        <v>0</v>
      </c>
      <c r="F2819" s="5">
        <v>0</v>
      </c>
      <c r="G2819" s="5">
        <v>0</v>
      </c>
      <c r="H2819" s="4" t="s">
        <v>11</v>
      </c>
      <c r="I2819" s="5">
        <v>0</v>
      </c>
      <c r="J2819" s="4">
        <v>45916.294861111113</v>
      </c>
    </row>
    <row r="2820" spans="1:10" x14ac:dyDescent="0.2">
      <c r="A2820" s="2" t="s">
        <v>10</v>
      </c>
      <c r="B2820" s="3" t="str">
        <f t="shared" si="54"/>
        <v>France - HCP Survey Email - June 2025</v>
      </c>
      <c r="C2820" s="3" t="str">
        <f>HYPERLINK("https://otsuka-europe-crm.veevavault.com/ui/#object/sent_email__v/VBLZ025E82GNPCF", "SE-000274514")</f>
        <v>SE-000274514</v>
      </c>
      <c r="D2820" s="4" t="s">
        <v>11</v>
      </c>
      <c r="E2820" s="5">
        <v>0</v>
      </c>
      <c r="F2820" s="5">
        <v>0</v>
      </c>
      <c r="G2820" s="5">
        <v>0</v>
      </c>
      <c r="H2820" s="4" t="s">
        <v>11</v>
      </c>
      <c r="I2820" s="5">
        <v>0</v>
      </c>
      <c r="J2820" s="4">
        <v>45916.294293981482</v>
      </c>
    </row>
    <row r="2821" spans="1:10" x14ac:dyDescent="0.2">
      <c r="A2821" s="2" t="s">
        <v>10</v>
      </c>
      <c r="B2821" s="3" t="str">
        <f t="shared" si="54"/>
        <v>France - HCP Survey Email - June 2025</v>
      </c>
      <c r="C2821" s="3" t="str">
        <f>HYPERLINK("https://otsuka-europe-crm.veevavault.com/ui/#object/sent_email__v/VBLZ025E82GNPCG", "SE-000274515")</f>
        <v>SE-000274515</v>
      </c>
      <c r="D2821" s="4" t="s">
        <v>11</v>
      </c>
      <c r="E2821" s="5">
        <v>0</v>
      </c>
      <c r="F2821" s="5">
        <v>0</v>
      </c>
      <c r="G2821" s="5">
        <v>0</v>
      </c>
      <c r="H2821" s="4" t="s">
        <v>11</v>
      </c>
      <c r="I2821" s="5">
        <v>0</v>
      </c>
      <c r="J2821" s="4">
        <v>45916.294259259259</v>
      </c>
    </row>
    <row r="2822" spans="1:10" x14ac:dyDescent="0.2">
      <c r="A2822" s="2" t="s">
        <v>10</v>
      </c>
      <c r="B2822" s="3" t="str">
        <f t="shared" si="54"/>
        <v>France - HCP Survey Email - June 2025</v>
      </c>
      <c r="C2822" s="3" t="str">
        <f>HYPERLINK("https://otsuka-europe-crm.veevavault.com/ui/#object/sent_email__v/VBLZ025E82GNPCH", "SE-000274516")</f>
        <v>SE-000274516</v>
      </c>
      <c r="D2822" s="4">
        <v>45916.294629629629</v>
      </c>
      <c r="E2822" s="5">
        <v>1</v>
      </c>
      <c r="F2822" s="5">
        <v>2</v>
      </c>
      <c r="G2822" s="5">
        <v>0</v>
      </c>
      <c r="H2822" s="4" t="s">
        <v>11</v>
      </c>
      <c r="I2822" s="5">
        <v>0</v>
      </c>
      <c r="J2822" s="4">
        <v>45916.294444444444</v>
      </c>
    </row>
    <row r="2823" spans="1:10" x14ac:dyDescent="0.2">
      <c r="A2823" s="2" t="s">
        <v>10</v>
      </c>
      <c r="B2823" s="3" t="str">
        <f t="shared" si="54"/>
        <v>France - HCP Survey Email - June 2025</v>
      </c>
      <c r="C2823" s="3" t="str">
        <f>HYPERLINK("https://otsuka-europe-crm.veevavault.com/ui/#object/sent_email__v/VBLZ025E82GNPCI", "SE-000274517")</f>
        <v>SE-000274517</v>
      </c>
      <c r="D2823" s="4">
        <v>45916.318298611113</v>
      </c>
      <c r="E2823" s="5">
        <v>1</v>
      </c>
      <c r="F2823" s="5">
        <v>1</v>
      </c>
      <c r="G2823" s="5">
        <v>0</v>
      </c>
      <c r="H2823" s="4" t="s">
        <v>11</v>
      </c>
      <c r="I2823" s="5">
        <v>0</v>
      </c>
      <c r="J2823" s="4">
        <v>45916.294606481482</v>
      </c>
    </row>
    <row r="2824" spans="1:10" x14ac:dyDescent="0.2">
      <c r="A2824" s="2" t="s">
        <v>10</v>
      </c>
      <c r="B2824" s="3" t="str">
        <f t="shared" si="54"/>
        <v>France - HCP Survey Email - June 2025</v>
      </c>
      <c r="C2824" s="3" t="str">
        <f>HYPERLINK("https://otsuka-europe-crm.veevavault.com/ui/#object/sent_email__v/VBLZ025E82GNPCJ", "SE-000274518")</f>
        <v>SE-000274518</v>
      </c>
      <c r="D2824" s="4" t="s">
        <v>11</v>
      </c>
      <c r="E2824" s="5">
        <v>0</v>
      </c>
      <c r="F2824" s="5">
        <v>0</v>
      </c>
      <c r="G2824" s="5">
        <v>0</v>
      </c>
      <c r="H2824" s="4" t="s">
        <v>11</v>
      </c>
      <c r="I2824" s="5">
        <v>0</v>
      </c>
      <c r="J2824" s="4">
        <v>45916.294849537036</v>
      </c>
    </row>
    <row r="2825" spans="1:10" x14ac:dyDescent="0.2">
      <c r="A2825" s="2" t="s">
        <v>10</v>
      </c>
      <c r="B2825" s="3" t="str">
        <f t="shared" si="54"/>
        <v>France - HCP Survey Email - June 2025</v>
      </c>
      <c r="C2825" s="3" t="str">
        <f>HYPERLINK("https://otsuka-europe-crm.veevavault.com/ui/#object/sent_email__v/VBLZ025E82GNPCK", "SE-000274519")</f>
        <v>SE-000274519</v>
      </c>
      <c r="D2825" s="4" t="s">
        <v>11</v>
      </c>
      <c r="E2825" s="5">
        <v>0</v>
      </c>
      <c r="F2825" s="5">
        <v>0</v>
      </c>
      <c r="G2825" s="5">
        <v>0</v>
      </c>
      <c r="H2825" s="4" t="s">
        <v>11</v>
      </c>
      <c r="I2825" s="5">
        <v>0</v>
      </c>
      <c r="J2825" s="4">
        <v>45916.294317129628</v>
      </c>
    </row>
    <row r="2826" spans="1:10" x14ac:dyDescent="0.2">
      <c r="A2826" s="2" t="s">
        <v>10</v>
      </c>
      <c r="B2826" s="3" t="str">
        <f t="shared" si="54"/>
        <v>France - HCP Survey Email - June 2025</v>
      </c>
      <c r="C2826" s="3" t="str">
        <f>HYPERLINK("https://otsuka-europe-crm.veevavault.com/ui/#object/sent_email__v/VBLZ025E82GNPCL", "SE-000274520")</f>
        <v>SE-000274520</v>
      </c>
      <c r="D2826" s="4" t="s">
        <v>11</v>
      </c>
      <c r="E2826" s="5">
        <v>0</v>
      </c>
      <c r="F2826" s="5">
        <v>0</v>
      </c>
      <c r="G2826" s="5">
        <v>0</v>
      </c>
      <c r="H2826" s="4" t="s">
        <v>11</v>
      </c>
      <c r="I2826" s="5">
        <v>0</v>
      </c>
      <c r="J2826" s="4">
        <v>45916.294537037036</v>
      </c>
    </row>
    <row r="2827" spans="1:10" x14ac:dyDescent="0.2">
      <c r="A2827" s="2" t="s">
        <v>10</v>
      </c>
      <c r="B2827" s="3" t="str">
        <f t="shared" si="54"/>
        <v>France - HCP Survey Email - June 2025</v>
      </c>
      <c r="C2827" s="3" t="str">
        <f>HYPERLINK("https://otsuka-europe-crm.veevavault.com/ui/#object/sent_email__v/VBLZ025E82GNPCM", "SE-000274521")</f>
        <v>SE-000274521</v>
      </c>
      <c r="D2827" s="4" t="s">
        <v>11</v>
      </c>
      <c r="E2827" s="5">
        <v>0</v>
      </c>
      <c r="F2827" s="5">
        <v>0</v>
      </c>
      <c r="G2827" s="5">
        <v>0</v>
      </c>
      <c r="H2827" s="4" t="s">
        <v>11</v>
      </c>
      <c r="I2827" s="5">
        <v>0</v>
      </c>
      <c r="J2827" s="4">
        <v>45916.294745370367</v>
      </c>
    </row>
    <row r="2828" spans="1:10" x14ac:dyDescent="0.2">
      <c r="A2828" s="2" t="s">
        <v>10</v>
      </c>
      <c r="B2828" s="3" t="str">
        <f t="shared" si="54"/>
        <v>France - HCP Survey Email - June 2025</v>
      </c>
      <c r="C2828" s="3" t="str">
        <f>HYPERLINK("https://otsuka-europe-crm.veevavault.com/ui/#object/sent_email__v/VBLZ025E82GNPCN", "SE-000274522")</f>
        <v>SE-000274522</v>
      </c>
      <c r="D2828" s="4" t="s">
        <v>11</v>
      </c>
      <c r="E2828" s="5">
        <v>0</v>
      </c>
      <c r="F2828" s="5">
        <v>0</v>
      </c>
      <c r="G2828" s="5">
        <v>0</v>
      </c>
      <c r="H2828" s="4" t="s">
        <v>11</v>
      </c>
      <c r="I2828" s="5">
        <v>0</v>
      </c>
      <c r="J2828" s="4">
        <v>45916.294965277775</v>
      </c>
    </row>
    <row r="2829" spans="1:10" x14ac:dyDescent="0.2">
      <c r="A2829" s="2" t="s">
        <v>10</v>
      </c>
      <c r="B2829" s="3" t="str">
        <f t="shared" si="54"/>
        <v>France - HCP Survey Email - June 2025</v>
      </c>
      <c r="C2829" s="3" t="str">
        <f>HYPERLINK("https://otsuka-europe-crm.veevavault.com/ui/#object/sent_email__v/VBLZ025E82GNPCO", "SE-000274523")</f>
        <v>SE-000274523</v>
      </c>
      <c r="D2829" s="4" t="s">
        <v>11</v>
      </c>
      <c r="E2829" s="5">
        <v>0</v>
      </c>
      <c r="F2829" s="5">
        <v>0</v>
      </c>
      <c r="G2829" s="5">
        <v>0</v>
      </c>
      <c r="H2829" s="4" t="s">
        <v>11</v>
      </c>
      <c r="I2829" s="5">
        <v>0</v>
      </c>
      <c r="J2829" s="4">
        <v>45916.294270833336</v>
      </c>
    </row>
    <row r="2830" spans="1:10" x14ac:dyDescent="0.2">
      <c r="A2830" s="2" t="s">
        <v>10</v>
      </c>
      <c r="B2830" s="3" t="str">
        <f t="shared" si="54"/>
        <v>France - HCP Survey Email - June 2025</v>
      </c>
      <c r="C2830" s="3" t="str">
        <f>HYPERLINK("https://otsuka-europe-crm.veevavault.com/ui/#object/sent_email__v/VBLZ025E82GNPCP", "SE-000274524")</f>
        <v>SE-000274524</v>
      </c>
      <c r="D2830" s="4">
        <v>45917.544525462959</v>
      </c>
      <c r="E2830" s="5">
        <v>1</v>
      </c>
      <c r="F2830" s="5">
        <v>1</v>
      </c>
      <c r="G2830" s="5">
        <v>0</v>
      </c>
      <c r="H2830" s="4" t="s">
        <v>11</v>
      </c>
      <c r="I2830" s="5">
        <v>0</v>
      </c>
      <c r="J2830" s="4">
        <v>45916.294560185182</v>
      </c>
    </row>
    <row r="2831" spans="1:10" x14ac:dyDescent="0.2">
      <c r="A2831" s="2" t="s">
        <v>10</v>
      </c>
      <c r="B2831" s="3" t="str">
        <f t="shared" si="54"/>
        <v>France - HCP Survey Email - June 2025</v>
      </c>
      <c r="C2831" s="3" t="str">
        <f>HYPERLINK("https://otsuka-europe-crm.veevavault.com/ui/#object/sent_email__v/VBLZ025E82GNPCQ", "SE-000274525")</f>
        <v>SE-000274525</v>
      </c>
      <c r="D2831" s="4" t="s">
        <v>11</v>
      </c>
      <c r="E2831" s="5">
        <v>0</v>
      </c>
      <c r="F2831" s="5">
        <v>0</v>
      </c>
      <c r="G2831" s="5">
        <v>0</v>
      </c>
      <c r="H2831" s="4" t="s">
        <v>11</v>
      </c>
      <c r="I2831" s="5">
        <v>0</v>
      </c>
      <c r="J2831" s="4">
        <v>45916.29483796296</v>
      </c>
    </row>
    <row r="2832" spans="1:10" x14ac:dyDescent="0.2">
      <c r="A2832" s="2" t="s">
        <v>10</v>
      </c>
      <c r="B2832" s="3" t="str">
        <f t="shared" si="54"/>
        <v>France - HCP Survey Email - June 2025</v>
      </c>
      <c r="C2832" s="3" t="str">
        <f>HYPERLINK("https://otsuka-europe-crm.veevavault.com/ui/#object/sent_email__v/VBLZ025E82GNPCR", "SE-000274526")</f>
        <v>SE-000274526</v>
      </c>
      <c r="D2832" s="4" t="s">
        <v>11</v>
      </c>
      <c r="E2832" s="5">
        <v>0</v>
      </c>
      <c r="F2832" s="5">
        <v>0</v>
      </c>
      <c r="G2832" s="5">
        <v>0</v>
      </c>
      <c r="H2832" s="4" t="s">
        <v>11</v>
      </c>
      <c r="I2832" s="5">
        <v>0</v>
      </c>
      <c r="J2832" s="4">
        <v>45916.294259259259</v>
      </c>
    </row>
    <row r="2833" spans="1:10" x14ac:dyDescent="0.2">
      <c r="A2833" s="2" t="s">
        <v>10</v>
      </c>
      <c r="B2833" s="3" t="str">
        <f t="shared" si="54"/>
        <v>France - HCP Survey Email - June 2025</v>
      </c>
      <c r="C2833" s="3" t="str">
        <f>HYPERLINK("https://otsuka-europe-crm.veevavault.com/ui/#object/sent_email__v/VBLZ025E82GNPCS", "SE-000274527")</f>
        <v>SE-000274527</v>
      </c>
      <c r="D2833" s="4" t="s">
        <v>11</v>
      </c>
      <c r="E2833" s="5">
        <v>0</v>
      </c>
      <c r="F2833" s="5">
        <v>0</v>
      </c>
      <c r="G2833" s="5">
        <v>0</v>
      </c>
      <c r="H2833" s="4" t="s">
        <v>11</v>
      </c>
      <c r="I2833" s="5">
        <v>0</v>
      </c>
      <c r="J2833" s="4">
        <v>45916.294490740744</v>
      </c>
    </row>
    <row r="2834" spans="1:10" x14ac:dyDescent="0.2">
      <c r="A2834" s="2" t="s">
        <v>10</v>
      </c>
      <c r="B2834" s="3" t="str">
        <f t="shared" si="54"/>
        <v>France - HCP Survey Email - June 2025</v>
      </c>
      <c r="C2834" s="3" t="str">
        <f>HYPERLINK("https://otsuka-europe-crm.veevavault.com/ui/#object/sent_email__v/VBLZ025E82GNPCU", "SE-000274529")</f>
        <v>SE-000274529</v>
      </c>
      <c r="D2834" s="4">
        <v>45916.569062499999</v>
      </c>
      <c r="E2834" s="5">
        <v>1</v>
      </c>
      <c r="F2834" s="5">
        <v>1</v>
      </c>
      <c r="G2834" s="5">
        <v>0</v>
      </c>
      <c r="H2834" s="4" t="s">
        <v>11</v>
      </c>
      <c r="I2834" s="5">
        <v>0</v>
      </c>
      <c r="J2834" s="4">
        <v>45916.294895833336</v>
      </c>
    </row>
    <row r="2835" spans="1:10" x14ac:dyDescent="0.2">
      <c r="A2835" s="2" t="s">
        <v>10</v>
      </c>
      <c r="B2835" s="3" t="str">
        <f t="shared" si="54"/>
        <v>France - HCP Survey Email - June 2025</v>
      </c>
      <c r="C2835" s="3" t="str">
        <f>HYPERLINK("https://otsuka-europe-crm.veevavault.com/ui/#object/sent_email__v/VBLZ025E82GNPCV", "SE-000274530")</f>
        <v>SE-000274530</v>
      </c>
      <c r="D2835" s="4">
        <v>45916.296064814815</v>
      </c>
      <c r="E2835" s="5">
        <v>1</v>
      </c>
      <c r="F2835" s="5">
        <v>1</v>
      </c>
      <c r="G2835" s="5">
        <v>0</v>
      </c>
      <c r="H2835" s="4" t="s">
        <v>11</v>
      </c>
      <c r="I2835" s="5">
        <v>0</v>
      </c>
      <c r="J2835" s="4">
        <v>45916.294293981482</v>
      </c>
    </row>
    <row r="2836" spans="1:10" x14ac:dyDescent="0.2">
      <c r="A2836" s="2" t="s">
        <v>10</v>
      </c>
      <c r="B2836" s="3" t="str">
        <f t="shared" si="54"/>
        <v>France - HCP Survey Email - June 2025</v>
      </c>
      <c r="C2836" s="3" t="str">
        <f>HYPERLINK("https://otsuka-europe-crm.veevavault.com/ui/#object/sent_email__v/VBLZ025E82GNPCW", "SE-000274531")</f>
        <v>SE-000274531</v>
      </c>
      <c r="D2836" s="4" t="s">
        <v>11</v>
      </c>
      <c r="E2836" s="5">
        <v>0</v>
      </c>
      <c r="F2836" s="5">
        <v>0</v>
      </c>
      <c r="G2836" s="5">
        <v>0</v>
      </c>
      <c r="H2836" s="4" t="s">
        <v>11</v>
      </c>
      <c r="I2836" s="5">
        <v>0</v>
      </c>
      <c r="J2836" s="4">
        <v>45916.294490740744</v>
      </c>
    </row>
    <row r="2837" spans="1:10" x14ac:dyDescent="0.2">
      <c r="A2837" s="2" t="s">
        <v>10</v>
      </c>
      <c r="B2837" s="3" t="str">
        <f t="shared" si="54"/>
        <v>France - HCP Survey Email - June 2025</v>
      </c>
      <c r="C2837" s="3" t="str">
        <f>HYPERLINK("https://otsuka-europe-crm.veevavault.com/ui/#object/sent_email__v/VBLZ025E82GNPCX", "SE-000274532")</f>
        <v>SE-000274532</v>
      </c>
      <c r="D2837" s="4" t="s">
        <v>11</v>
      </c>
      <c r="E2837" s="5">
        <v>0</v>
      </c>
      <c r="F2837" s="5">
        <v>0</v>
      </c>
      <c r="G2837" s="5">
        <v>0</v>
      </c>
      <c r="H2837" s="4" t="s">
        <v>11</v>
      </c>
      <c r="I2837" s="5">
        <v>0</v>
      </c>
      <c r="J2837" s="4">
        <v>45916.294745370367</v>
      </c>
    </row>
    <row r="2838" spans="1:10" x14ac:dyDescent="0.2">
      <c r="A2838" s="2" t="s">
        <v>10</v>
      </c>
      <c r="B2838" s="3" t="str">
        <f t="shared" si="54"/>
        <v>France - HCP Survey Email - June 2025</v>
      </c>
      <c r="C2838" s="3" t="str">
        <f>HYPERLINK("https://otsuka-europe-crm.veevavault.com/ui/#object/sent_email__v/VBLZ025E82GNPCY", "SE-000274533")</f>
        <v>SE-000274533</v>
      </c>
      <c r="D2838" s="4">
        <v>45919.700532407405</v>
      </c>
      <c r="E2838" s="5">
        <v>1</v>
      </c>
      <c r="F2838" s="5">
        <v>2</v>
      </c>
      <c r="G2838" s="5">
        <v>0</v>
      </c>
      <c r="H2838" s="4" t="s">
        <v>11</v>
      </c>
      <c r="I2838" s="5">
        <v>0</v>
      </c>
      <c r="J2838" s="4">
        <v>45916.294965277775</v>
      </c>
    </row>
    <row r="2839" spans="1:10" x14ac:dyDescent="0.2">
      <c r="A2839" s="2" t="s">
        <v>10</v>
      </c>
      <c r="B2839" s="3" t="str">
        <f t="shared" si="54"/>
        <v>France - HCP Survey Email - June 2025</v>
      </c>
      <c r="C2839" s="3" t="str">
        <f>HYPERLINK("https://otsuka-europe-crm.veevavault.com/ui/#object/sent_email__v/VBLZ025E82GNPCZ", "SE-000274534")</f>
        <v>SE-000274534</v>
      </c>
      <c r="D2839" s="4" t="s">
        <v>11</v>
      </c>
      <c r="E2839" s="5">
        <v>0</v>
      </c>
      <c r="F2839" s="5">
        <v>0</v>
      </c>
      <c r="G2839" s="5">
        <v>0</v>
      </c>
      <c r="H2839" s="4" t="s">
        <v>11</v>
      </c>
      <c r="I2839" s="5">
        <v>0</v>
      </c>
      <c r="J2839" s="4">
        <v>45916.294270833336</v>
      </c>
    </row>
    <row r="2840" spans="1:10" x14ac:dyDescent="0.2">
      <c r="A2840" s="2" t="s">
        <v>10</v>
      </c>
      <c r="B2840" s="3" t="str">
        <f t="shared" si="54"/>
        <v>France - HCP Survey Email - June 2025</v>
      </c>
      <c r="C2840" s="3" t="str">
        <f>HYPERLINK("https://otsuka-europe-crm.veevavault.com/ui/#object/sent_email__v/VBLZ025E82GNPD0", "SE-000274535")</f>
        <v>SE-000274535</v>
      </c>
      <c r="D2840" s="4" t="s">
        <v>11</v>
      </c>
      <c r="E2840" s="5">
        <v>0</v>
      </c>
      <c r="F2840" s="5">
        <v>0</v>
      </c>
      <c r="G2840" s="5">
        <v>0</v>
      </c>
      <c r="H2840" s="4" t="s">
        <v>11</v>
      </c>
      <c r="I2840" s="5">
        <v>0</v>
      </c>
      <c r="J2840" s="4">
        <v>45916.294641203705</v>
      </c>
    </row>
    <row r="2841" spans="1:10" x14ac:dyDescent="0.2">
      <c r="A2841" s="2" t="s">
        <v>10</v>
      </c>
      <c r="B2841" s="3" t="str">
        <f t="shared" si="54"/>
        <v>France - HCP Survey Email - June 2025</v>
      </c>
      <c r="C2841" s="3" t="str">
        <f>HYPERLINK("https://otsuka-europe-crm.veevavault.com/ui/#object/sent_email__v/VBLZ025E82GNPD1", "SE-000274536")</f>
        <v>SE-000274536</v>
      </c>
      <c r="D2841" s="4" t="s">
        <v>11</v>
      </c>
      <c r="E2841" s="5">
        <v>0</v>
      </c>
      <c r="F2841" s="5">
        <v>0</v>
      </c>
      <c r="G2841" s="5">
        <v>0</v>
      </c>
      <c r="H2841" s="4" t="s">
        <v>11</v>
      </c>
      <c r="I2841" s="5">
        <v>0</v>
      </c>
      <c r="J2841" s="4">
        <v>45916.29483796296</v>
      </c>
    </row>
    <row r="2842" spans="1:10" x14ac:dyDescent="0.2">
      <c r="A2842" s="2" t="s">
        <v>10</v>
      </c>
      <c r="B2842" s="3" t="str">
        <f t="shared" si="54"/>
        <v>France - HCP Survey Email - June 2025</v>
      </c>
      <c r="C2842" s="3" t="str">
        <f>HYPERLINK("https://otsuka-europe-crm.veevavault.com/ui/#object/sent_email__v/VBLZ025E82GNPD2", "SE-000274537")</f>
        <v>SE-000274537</v>
      </c>
      <c r="D2842" s="4" t="s">
        <v>11</v>
      </c>
      <c r="E2842" s="5">
        <v>0</v>
      </c>
      <c r="F2842" s="5">
        <v>0</v>
      </c>
      <c r="G2842" s="5">
        <v>0</v>
      </c>
      <c r="H2842" s="4" t="s">
        <v>11</v>
      </c>
      <c r="I2842" s="5">
        <v>0</v>
      </c>
      <c r="J2842" s="4">
        <v>45916.294270833336</v>
      </c>
    </row>
    <row r="2843" spans="1:10" x14ac:dyDescent="0.2">
      <c r="A2843" s="2" t="s">
        <v>10</v>
      </c>
      <c r="B2843" s="3" t="str">
        <f t="shared" si="54"/>
        <v>France - HCP Survey Email - June 2025</v>
      </c>
      <c r="C2843" s="3" t="str">
        <f>HYPERLINK("https://otsuka-europe-crm.veevavault.com/ui/#object/sent_email__v/VBLZ025E82GNPD3", "SE-000274538")</f>
        <v>SE-000274538</v>
      </c>
      <c r="D2843" s="4" t="s">
        <v>11</v>
      </c>
      <c r="E2843" s="5">
        <v>0</v>
      </c>
      <c r="F2843" s="5">
        <v>0</v>
      </c>
      <c r="G2843" s="5">
        <v>0</v>
      </c>
      <c r="H2843" s="4" t="s">
        <v>11</v>
      </c>
      <c r="I2843" s="5">
        <v>0</v>
      </c>
      <c r="J2843" s="4">
        <v>45916.29446759259</v>
      </c>
    </row>
    <row r="2844" spans="1:10" x14ac:dyDescent="0.2">
      <c r="A2844" s="2" t="s">
        <v>10</v>
      </c>
      <c r="B2844" s="3" t="str">
        <f t="shared" si="54"/>
        <v>France - HCP Survey Email - June 2025</v>
      </c>
      <c r="C2844" s="3" t="str">
        <f>HYPERLINK("https://otsuka-europe-crm.veevavault.com/ui/#object/sent_email__v/VBLZ025E82GNPD4", "SE-000274539")</f>
        <v>SE-000274539</v>
      </c>
      <c r="D2844" s="4" t="s">
        <v>11</v>
      </c>
      <c r="E2844" s="5">
        <v>0</v>
      </c>
      <c r="F2844" s="5">
        <v>0</v>
      </c>
      <c r="G2844" s="5">
        <v>0</v>
      </c>
      <c r="H2844" s="4" t="s">
        <v>11</v>
      </c>
      <c r="I2844" s="5">
        <v>0</v>
      </c>
      <c r="J2844" s="4">
        <v>45916.294675925928</v>
      </c>
    </row>
    <row r="2845" spans="1:10" x14ac:dyDescent="0.2">
      <c r="A2845" s="2" t="s">
        <v>10</v>
      </c>
      <c r="B2845" s="3" t="str">
        <f t="shared" si="54"/>
        <v>France - HCP Survey Email - June 2025</v>
      </c>
      <c r="C2845" s="3" t="str">
        <f>HYPERLINK("https://otsuka-europe-crm.veevavault.com/ui/#object/sent_email__v/VBLZ025E82GNPD5", "SE-000274540")</f>
        <v>SE-000274540</v>
      </c>
      <c r="D2845" s="4">
        <v>45916.294942129629</v>
      </c>
      <c r="E2845" s="5">
        <v>1</v>
      </c>
      <c r="F2845" s="5">
        <v>1</v>
      </c>
      <c r="G2845" s="5">
        <v>1</v>
      </c>
      <c r="H2845" s="4">
        <v>45916.294942129629</v>
      </c>
      <c r="I2845" s="5">
        <v>1</v>
      </c>
      <c r="J2845" s="4">
        <v>45916.294918981483</v>
      </c>
    </row>
    <row r="2846" spans="1:10" x14ac:dyDescent="0.2">
      <c r="A2846" s="2" t="s">
        <v>10</v>
      </c>
      <c r="B2846" s="3" t="str">
        <f t="shared" si="54"/>
        <v>France - HCP Survey Email - June 2025</v>
      </c>
      <c r="C2846" s="3" t="str">
        <f>HYPERLINK("https://otsuka-europe-crm.veevavault.com/ui/#object/sent_email__v/VBLZ025E82GNPD7", "SE-000274542")</f>
        <v>SE-000274542</v>
      </c>
      <c r="D2846" s="4" t="s">
        <v>11</v>
      </c>
      <c r="E2846" s="5">
        <v>0</v>
      </c>
      <c r="F2846" s="5">
        <v>0</v>
      </c>
      <c r="G2846" s="5">
        <v>0</v>
      </c>
      <c r="H2846" s="4" t="s">
        <v>11</v>
      </c>
      <c r="I2846" s="5">
        <v>0</v>
      </c>
      <c r="J2846" s="4">
        <v>45916.294502314813</v>
      </c>
    </row>
    <row r="2847" spans="1:10" x14ac:dyDescent="0.2">
      <c r="A2847" s="2" t="s">
        <v>10</v>
      </c>
      <c r="B2847" s="3" t="str">
        <f t="shared" si="54"/>
        <v>France - HCP Survey Email - June 2025</v>
      </c>
      <c r="C2847" s="3" t="str">
        <f>HYPERLINK("https://otsuka-europe-crm.veevavault.com/ui/#object/sent_email__v/VBLZ025E82GNPD8", "SE-000274543")</f>
        <v>SE-000274543</v>
      </c>
      <c r="D2847" s="4" t="s">
        <v>11</v>
      </c>
      <c r="E2847" s="5">
        <v>0</v>
      </c>
      <c r="F2847" s="5">
        <v>0</v>
      </c>
      <c r="G2847" s="5">
        <v>0</v>
      </c>
      <c r="H2847" s="4" t="s">
        <v>11</v>
      </c>
      <c r="I2847" s="5">
        <v>0</v>
      </c>
      <c r="J2847" s="4">
        <v>45916.294664351852</v>
      </c>
    </row>
    <row r="2848" spans="1:10" x14ac:dyDescent="0.2">
      <c r="A2848" s="2" t="s">
        <v>10</v>
      </c>
      <c r="B2848" s="3" t="str">
        <f t="shared" si="54"/>
        <v>France - HCP Survey Email - June 2025</v>
      </c>
      <c r="C2848" s="3" t="str">
        <f>HYPERLINK("https://otsuka-europe-crm.veevavault.com/ui/#object/sent_email__v/VBLZ025E82GNPD9", "SE-000274544")</f>
        <v>SE-000274544</v>
      </c>
      <c r="D2848" s="4" t="s">
        <v>11</v>
      </c>
      <c r="E2848" s="5">
        <v>0</v>
      </c>
      <c r="F2848" s="5">
        <v>0</v>
      </c>
      <c r="G2848" s="5">
        <v>0</v>
      </c>
      <c r="H2848" s="4" t="s">
        <v>11</v>
      </c>
      <c r="I2848" s="5">
        <v>0</v>
      </c>
      <c r="J2848" s="4">
        <v>45916.294976851852</v>
      </c>
    </row>
    <row r="2849" spans="1:10" x14ac:dyDescent="0.2">
      <c r="A2849" s="2" t="s">
        <v>10</v>
      </c>
      <c r="B2849" s="3" t="str">
        <f t="shared" si="54"/>
        <v>France - HCP Survey Email - June 2025</v>
      </c>
      <c r="C2849" s="3" t="str">
        <f>HYPERLINK("https://otsuka-europe-crm.veevavault.com/ui/#object/sent_email__v/VBLZ025E82GNPDA", "SE-000274545")</f>
        <v>SE-000274545</v>
      </c>
      <c r="D2849" s="4">
        <v>45916.301076388889</v>
      </c>
      <c r="E2849" s="5">
        <v>1</v>
      </c>
      <c r="F2849" s="5">
        <v>1</v>
      </c>
      <c r="G2849" s="5">
        <v>1</v>
      </c>
      <c r="H2849" s="4">
        <v>45916.301076388889</v>
      </c>
      <c r="I2849" s="5">
        <v>1</v>
      </c>
      <c r="J2849" s="4">
        <v>45916.294351851851</v>
      </c>
    </row>
    <row r="2850" spans="1:10" x14ac:dyDescent="0.2">
      <c r="A2850" s="2" t="s">
        <v>10</v>
      </c>
      <c r="B2850" s="3" t="str">
        <f t="shared" si="54"/>
        <v>France - HCP Survey Email - June 2025</v>
      </c>
      <c r="C2850" s="3" t="str">
        <f>HYPERLINK("https://otsuka-europe-crm.veevavault.com/ui/#object/sent_email__v/VBLZ025E82GNPDB", "SE-000274546")</f>
        <v>SE-000274546</v>
      </c>
      <c r="D2850" s="4" t="s">
        <v>11</v>
      </c>
      <c r="E2850" s="5">
        <v>0</v>
      </c>
      <c r="F2850" s="5">
        <v>0</v>
      </c>
      <c r="G2850" s="5">
        <v>0</v>
      </c>
      <c r="H2850" s="4" t="s">
        <v>11</v>
      </c>
      <c r="I2850" s="5">
        <v>0</v>
      </c>
      <c r="J2850" s="4">
        <v>45916.294537037036</v>
      </c>
    </row>
    <row r="2851" spans="1:10" x14ac:dyDescent="0.2">
      <c r="A2851" s="2" t="s">
        <v>10</v>
      </c>
      <c r="B2851" s="3" t="str">
        <f t="shared" si="54"/>
        <v>France - HCP Survey Email - June 2025</v>
      </c>
      <c r="C2851" s="3" t="str">
        <f>HYPERLINK("https://otsuka-europe-crm.veevavault.com/ui/#object/sent_email__v/VBLZ025E82GNPDC", "SE-000274547")</f>
        <v>SE-000274547</v>
      </c>
      <c r="D2851" s="4" t="s">
        <v>11</v>
      </c>
      <c r="E2851" s="5">
        <v>0</v>
      </c>
      <c r="F2851" s="5">
        <v>0</v>
      </c>
      <c r="G2851" s="5">
        <v>0</v>
      </c>
      <c r="H2851" s="4" t="s">
        <v>11</v>
      </c>
      <c r="I2851" s="5">
        <v>0</v>
      </c>
      <c r="J2851" s="4">
        <v>45916.294895833336</v>
      </c>
    </row>
    <row r="2852" spans="1:10" x14ac:dyDescent="0.2">
      <c r="A2852" s="2" t="s">
        <v>10</v>
      </c>
      <c r="B2852" s="3" t="str">
        <f t="shared" si="54"/>
        <v>France - HCP Survey Email - June 2025</v>
      </c>
      <c r="C2852" s="3" t="str">
        <f>HYPERLINK("https://otsuka-europe-crm.veevavault.com/ui/#object/sent_email__v/VBLZ025E82GNPDD", "SE-000274548")</f>
        <v>SE-000274548</v>
      </c>
      <c r="D2852" s="4" t="s">
        <v>11</v>
      </c>
      <c r="E2852" s="5">
        <v>0</v>
      </c>
      <c r="F2852" s="5">
        <v>0</v>
      </c>
      <c r="G2852" s="5">
        <v>0</v>
      </c>
      <c r="H2852" s="4" t="s">
        <v>11</v>
      </c>
      <c r="I2852" s="5">
        <v>0</v>
      </c>
      <c r="J2852" s="4">
        <v>45916.294212962966</v>
      </c>
    </row>
    <row r="2853" spans="1:10" x14ac:dyDescent="0.2">
      <c r="A2853" s="2" t="s">
        <v>10</v>
      </c>
      <c r="B2853" s="3" t="str">
        <f t="shared" si="54"/>
        <v>France - HCP Survey Email - June 2025</v>
      </c>
      <c r="C2853" s="3" t="str">
        <f>HYPERLINK("https://otsuka-europe-crm.veevavault.com/ui/#object/sent_email__v/VBLZ025E82GNPDE", "SE-000274549")</f>
        <v>SE-000274549</v>
      </c>
      <c r="D2853" s="4" t="s">
        <v>11</v>
      </c>
      <c r="E2853" s="5">
        <v>0</v>
      </c>
      <c r="F2853" s="5">
        <v>0</v>
      </c>
      <c r="G2853" s="5">
        <v>0</v>
      </c>
      <c r="H2853" s="4" t="s">
        <v>11</v>
      </c>
      <c r="I2853" s="5">
        <v>0</v>
      </c>
      <c r="J2853" s="4">
        <v>45916.294502314813</v>
      </c>
    </row>
    <row r="2854" spans="1:10" x14ac:dyDescent="0.2">
      <c r="A2854" s="2" t="s">
        <v>10</v>
      </c>
      <c r="B2854" s="3" t="str">
        <f t="shared" si="54"/>
        <v>France - HCP Survey Email - June 2025</v>
      </c>
      <c r="C2854" s="3" t="str">
        <f>HYPERLINK("https://otsuka-europe-crm.veevavault.com/ui/#object/sent_email__v/VBLZ025E82GNPDF", "SE-000274550")</f>
        <v>SE-000274550</v>
      </c>
      <c r="D2854" s="4" t="s">
        <v>11</v>
      </c>
      <c r="E2854" s="5">
        <v>0</v>
      </c>
      <c r="F2854" s="5">
        <v>0</v>
      </c>
      <c r="G2854" s="5">
        <v>0</v>
      </c>
      <c r="H2854" s="4" t="s">
        <v>11</v>
      </c>
      <c r="I2854" s="5">
        <v>0</v>
      </c>
      <c r="J2854" s="4">
        <v>45916.294675925928</v>
      </c>
    </row>
    <row r="2855" spans="1:10" x14ac:dyDescent="0.2">
      <c r="A2855" s="2" t="s">
        <v>10</v>
      </c>
      <c r="B2855" s="3" t="str">
        <f t="shared" si="54"/>
        <v>France - HCP Survey Email - June 2025</v>
      </c>
      <c r="C2855" s="3" t="str">
        <f>HYPERLINK("https://otsuka-europe-crm.veevavault.com/ui/#object/sent_email__v/VBLZ025E82GNPDG", "SE-000274551")</f>
        <v>SE-000274551</v>
      </c>
      <c r="D2855" s="4">
        <v>45916.312673611108</v>
      </c>
      <c r="E2855" s="5">
        <v>1</v>
      </c>
      <c r="F2855" s="5">
        <v>1</v>
      </c>
      <c r="G2855" s="5">
        <v>0</v>
      </c>
      <c r="H2855" s="4" t="s">
        <v>11</v>
      </c>
      <c r="I2855" s="5">
        <v>0</v>
      </c>
      <c r="J2855" s="4">
        <v>45916.294803240744</v>
      </c>
    </row>
    <row r="2856" spans="1:10" x14ac:dyDescent="0.2">
      <c r="A2856" s="2" t="s">
        <v>10</v>
      </c>
      <c r="B2856" s="3" t="str">
        <f t="shared" si="54"/>
        <v>France - HCP Survey Email - June 2025</v>
      </c>
      <c r="C2856" s="3" t="str">
        <f>HYPERLINK("https://otsuka-europe-crm.veevavault.com/ui/#object/sent_email__v/VBLZ025E82GNPDH", "SE-000274552")</f>
        <v>SE-000274552</v>
      </c>
      <c r="D2856" s="4" t="s">
        <v>11</v>
      </c>
      <c r="E2856" s="5">
        <v>0</v>
      </c>
      <c r="F2856" s="5">
        <v>0</v>
      </c>
      <c r="G2856" s="5">
        <v>0</v>
      </c>
      <c r="H2856" s="4" t="s">
        <v>11</v>
      </c>
      <c r="I2856" s="5">
        <v>0</v>
      </c>
      <c r="J2856" s="4">
        <v>45916.294259259259</v>
      </c>
    </row>
    <row r="2857" spans="1:10" x14ac:dyDescent="0.2">
      <c r="A2857" s="2" t="s">
        <v>10</v>
      </c>
      <c r="B2857" s="3" t="str">
        <f t="shared" si="54"/>
        <v>France - HCP Survey Email - June 2025</v>
      </c>
      <c r="C2857" s="3" t="str">
        <f>HYPERLINK("https://otsuka-europe-crm.veevavault.com/ui/#object/sent_email__v/VBLZ025E82GNPDI", "SE-000274553")</f>
        <v>SE-000274553</v>
      </c>
      <c r="D2857" s="4">
        <v>45920.346238425926</v>
      </c>
      <c r="E2857" s="5">
        <v>1</v>
      </c>
      <c r="F2857" s="5">
        <v>6</v>
      </c>
      <c r="G2857" s="5">
        <v>0</v>
      </c>
      <c r="H2857" s="4" t="s">
        <v>11</v>
      </c>
      <c r="I2857" s="5">
        <v>0</v>
      </c>
      <c r="J2857" s="4">
        <v>45916.294479166667</v>
      </c>
    </row>
    <row r="2858" spans="1:10" x14ac:dyDescent="0.2">
      <c r="A2858" s="2" t="s">
        <v>10</v>
      </c>
      <c r="B2858" s="3" t="str">
        <f t="shared" si="54"/>
        <v>France - HCP Survey Email - June 2025</v>
      </c>
      <c r="C2858" s="3" t="str">
        <f>HYPERLINK("https://otsuka-europe-crm.veevavault.com/ui/#object/sent_email__v/VBLZ025E82GNPDJ", "SE-000274554")</f>
        <v>SE-000274554</v>
      </c>
      <c r="D2858" s="4" t="s">
        <v>11</v>
      </c>
      <c r="E2858" s="5">
        <v>0</v>
      </c>
      <c r="F2858" s="5">
        <v>0</v>
      </c>
      <c r="G2858" s="5">
        <v>0</v>
      </c>
      <c r="H2858" s="4" t="s">
        <v>11</v>
      </c>
      <c r="I2858" s="5">
        <v>0</v>
      </c>
      <c r="J2858" s="4">
        <v>45916.294629629629</v>
      </c>
    </row>
    <row r="2859" spans="1:10" x14ac:dyDescent="0.2">
      <c r="A2859" s="2" t="s">
        <v>10</v>
      </c>
      <c r="B2859" s="3" t="str">
        <f t="shared" si="54"/>
        <v>France - HCP Survey Email - June 2025</v>
      </c>
      <c r="C2859" s="3" t="str">
        <f>HYPERLINK("https://otsuka-europe-crm.veevavault.com/ui/#object/sent_email__v/VBLZ025E82GNPDK", "SE-000274555")</f>
        <v>SE-000274555</v>
      </c>
      <c r="D2859" s="4" t="s">
        <v>11</v>
      </c>
      <c r="E2859" s="5">
        <v>0</v>
      </c>
      <c r="F2859" s="5">
        <v>0</v>
      </c>
      <c r="G2859" s="5">
        <v>0</v>
      </c>
      <c r="H2859" s="4" t="s">
        <v>11</v>
      </c>
      <c r="I2859" s="5">
        <v>0</v>
      </c>
      <c r="J2859" s="4">
        <v>45916.294872685183</v>
      </c>
    </row>
    <row r="2860" spans="1:10" x14ac:dyDescent="0.2">
      <c r="A2860" s="2" t="s">
        <v>10</v>
      </c>
      <c r="B2860" s="3" t="str">
        <f t="shared" si="54"/>
        <v>France - HCP Survey Email - June 2025</v>
      </c>
      <c r="C2860" s="3" t="str">
        <f>HYPERLINK("https://otsuka-europe-crm.veevavault.com/ui/#object/sent_email__v/VBLZ025E82GNPDL", "SE-000274556")</f>
        <v>SE-000274556</v>
      </c>
      <c r="D2860" s="4" t="s">
        <v>11</v>
      </c>
      <c r="E2860" s="5">
        <v>0</v>
      </c>
      <c r="F2860" s="5">
        <v>0</v>
      </c>
      <c r="G2860" s="5">
        <v>0</v>
      </c>
      <c r="H2860" s="4" t="s">
        <v>11</v>
      </c>
      <c r="I2860" s="5">
        <v>0</v>
      </c>
      <c r="J2860" s="4">
        <v>45916.294328703705</v>
      </c>
    </row>
    <row r="2861" spans="1:10" x14ac:dyDescent="0.2">
      <c r="A2861" s="2" t="s">
        <v>10</v>
      </c>
      <c r="B2861" s="3" t="str">
        <f t="shared" si="54"/>
        <v>France - HCP Survey Email - June 2025</v>
      </c>
      <c r="C2861" s="3" t="str">
        <f>HYPERLINK("https://otsuka-europe-crm.veevavault.com/ui/#object/sent_email__v/VBLZ025E82GNPDM", "SE-000274557")</f>
        <v>SE-000274557</v>
      </c>
      <c r="D2861" s="4" t="s">
        <v>11</v>
      </c>
      <c r="E2861" s="5">
        <v>0</v>
      </c>
      <c r="F2861" s="5">
        <v>0</v>
      </c>
      <c r="G2861" s="5">
        <v>0</v>
      </c>
      <c r="H2861" s="4" t="s">
        <v>11</v>
      </c>
      <c r="I2861" s="5">
        <v>0</v>
      </c>
      <c r="J2861" s="4">
        <v>45916.294444444444</v>
      </c>
    </row>
    <row r="2862" spans="1:10" x14ac:dyDescent="0.2">
      <c r="A2862" s="2" t="s">
        <v>10</v>
      </c>
      <c r="B2862" s="3" t="str">
        <f t="shared" si="54"/>
        <v>France - HCP Survey Email - June 2025</v>
      </c>
      <c r="C2862" s="3" t="str">
        <f>HYPERLINK("https://otsuka-europe-crm.veevavault.com/ui/#object/sent_email__v/VBLZ025E82GNPDN", "SE-000274558")</f>
        <v>SE-000274558</v>
      </c>
      <c r="D2862" s="4" t="s">
        <v>11</v>
      </c>
      <c r="E2862" s="5">
        <v>0</v>
      </c>
      <c r="F2862" s="5">
        <v>0</v>
      </c>
      <c r="G2862" s="5">
        <v>0</v>
      </c>
      <c r="H2862" s="4" t="s">
        <v>11</v>
      </c>
      <c r="I2862" s="5">
        <v>0</v>
      </c>
      <c r="J2862" s="4">
        <v>45916.294803240744</v>
      </c>
    </row>
    <row r="2863" spans="1:10" x14ac:dyDescent="0.2">
      <c r="A2863" s="2" t="s">
        <v>10</v>
      </c>
      <c r="B2863" s="3" t="str">
        <f t="shared" si="54"/>
        <v>France - HCP Survey Email - June 2025</v>
      </c>
      <c r="C2863" s="3" t="str">
        <f>HYPERLINK("https://otsuka-europe-crm.veevavault.com/ui/#object/sent_email__v/VBLZ025E82GNPDO", "SE-000274559")</f>
        <v>SE-000274559</v>
      </c>
      <c r="D2863" s="4" t="s">
        <v>11</v>
      </c>
      <c r="E2863" s="5">
        <v>0</v>
      </c>
      <c r="F2863" s="5">
        <v>0</v>
      </c>
      <c r="G2863" s="5">
        <v>0</v>
      </c>
      <c r="H2863" s="4" t="s">
        <v>11</v>
      </c>
      <c r="I2863" s="5">
        <v>0</v>
      </c>
      <c r="J2863" s="4">
        <v>45916.294976851852</v>
      </c>
    </row>
    <row r="2864" spans="1:10" x14ac:dyDescent="0.2">
      <c r="A2864" s="2" t="s">
        <v>10</v>
      </c>
      <c r="B2864" s="3" t="str">
        <f t="shared" si="54"/>
        <v>France - HCP Survey Email - June 2025</v>
      </c>
      <c r="C2864" s="3" t="str">
        <f>HYPERLINK("https://otsuka-europe-crm.veevavault.com/ui/#object/sent_email__v/VBLZ025E82GNPDP", "SE-000274560")</f>
        <v>SE-000274560</v>
      </c>
      <c r="D2864" s="4" t="s">
        <v>11</v>
      </c>
      <c r="E2864" s="5">
        <v>0</v>
      </c>
      <c r="F2864" s="5">
        <v>0</v>
      </c>
      <c r="G2864" s="5">
        <v>0</v>
      </c>
      <c r="H2864" s="4" t="s">
        <v>11</v>
      </c>
      <c r="I2864" s="5">
        <v>0</v>
      </c>
      <c r="J2864" s="4">
        <v>45916.294374999998</v>
      </c>
    </row>
    <row r="2865" spans="1:10" x14ac:dyDescent="0.2">
      <c r="A2865" s="2" t="s">
        <v>10</v>
      </c>
      <c r="B2865" s="3" t="str">
        <f t="shared" si="54"/>
        <v>France - HCP Survey Email - June 2025</v>
      </c>
      <c r="C2865" s="3" t="str">
        <f>HYPERLINK("https://otsuka-europe-crm.veevavault.com/ui/#object/sent_email__v/VBLZ025E82GNPDQ", "SE-000274561")</f>
        <v>SE-000274561</v>
      </c>
      <c r="D2865" s="4" t="s">
        <v>11</v>
      </c>
      <c r="E2865" s="5">
        <v>0</v>
      </c>
      <c r="F2865" s="5">
        <v>0</v>
      </c>
      <c r="G2865" s="5">
        <v>0</v>
      </c>
      <c r="H2865" s="4" t="s">
        <v>11</v>
      </c>
      <c r="I2865" s="5">
        <v>0</v>
      </c>
      <c r="J2865" s="4">
        <v>45916.294618055559</v>
      </c>
    </row>
    <row r="2866" spans="1:10" x14ac:dyDescent="0.2">
      <c r="A2866" s="2" t="s">
        <v>10</v>
      </c>
      <c r="B2866" s="3" t="str">
        <f t="shared" si="54"/>
        <v>France - HCP Survey Email - June 2025</v>
      </c>
      <c r="C2866" s="3" t="str">
        <f>HYPERLINK("https://otsuka-europe-crm.veevavault.com/ui/#object/sent_email__v/VBLZ025E82GNPDR", "SE-000274562")</f>
        <v>SE-000274562</v>
      </c>
      <c r="D2866" s="4">
        <v>45916.378287037034</v>
      </c>
      <c r="E2866" s="5">
        <v>1</v>
      </c>
      <c r="F2866" s="5">
        <v>1</v>
      </c>
      <c r="G2866" s="5">
        <v>0</v>
      </c>
      <c r="H2866" s="4" t="s">
        <v>11</v>
      </c>
      <c r="I2866" s="5">
        <v>0</v>
      </c>
      <c r="J2866" s="4">
        <v>45916.294803240744</v>
      </c>
    </row>
    <row r="2867" spans="1:10" x14ac:dyDescent="0.2">
      <c r="A2867" s="2" t="s">
        <v>10</v>
      </c>
      <c r="B2867" s="3" t="str">
        <f t="shared" si="54"/>
        <v>France - HCP Survey Email - June 2025</v>
      </c>
      <c r="C2867" s="3" t="str">
        <f>HYPERLINK("https://otsuka-europe-crm.veevavault.com/ui/#object/sent_email__v/VBLZ025E82GNPDS", "SE-000274563")</f>
        <v>SE-000274563</v>
      </c>
      <c r="D2867" s="4" t="s">
        <v>11</v>
      </c>
      <c r="E2867" s="5">
        <v>0</v>
      </c>
      <c r="F2867" s="5">
        <v>0</v>
      </c>
      <c r="G2867" s="5">
        <v>0</v>
      </c>
      <c r="H2867" s="4" t="s">
        <v>11</v>
      </c>
      <c r="I2867" s="5">
        <v>0</v>
      </c>
      <c r="J2867" s="4">
        <v>45916.294178240743</v>
      </c>
    </row>
    <row r="2868" spans="1:10" x14ac:dyDescent="0.2">
      <c r="A2868" s="2" t="s">
        <v>10</v>
      </c>
      <c r="B2868" s="3" t="str">
        <f t="shared" si="54"/>
        <v>France - HCP Survey Email - June 2025</v>
      </c>
      <c r="C2868" s="3" t="str">
        <f>HYPERLINK("https://otsuka-europe-crm.veevavault.com/ui/#object/sent_email__v/VBLZ025E82GNPDT", "SE-000274564")</f>
        <v>SE-000274564</v>
      </c>
      <c r="D2868" s="4" t="s">
        <v>11</v>
      </c>
      <c r="E2868" s="5">
        <v>0</v>
      </c>
      <c r="F2868" s="5">
        <v>0</v>
      </c>
      <c r="G2868" s="5">
        <v>0</v>
      </c>
      <c r="H2868" s="4" t="s">
        <v>11</v>
      </c>
      <c r="I2868" s="5">
        <v>0</v>
      </c>
      <c r="J2868" s="4">
        <v>45916.294444444444</v>
      </c>
    </row>
    <row r="2869" spans="1:10" x14ac:dyDescent="0.2">
      <c r="A2869" s="2" t="s">
        <v>10</v>
      </c>
      <c r="B2869" s="3" t="str">
        <f t="shared" si="54"/>
        <v>France - HCP Survey Email - June 2025</v>
      </c>
      <c r="C2869" s="3" t="str">
        <f>HYPERLINK("https://otsuka-europe-crm.veevavault.com/ui/#object/sent_email__v/VBLZ025E82GNPDU", "SE-000274565")</f>
        <v>SE-000274565</v>
      </c>
      <c r="D2869" s="4" t="s">
        <v>11</v>
      </c>
      <c r="E2869" s="5">
        <v>0</v>
      </c>
      <c r="F2869" s="5">
        <v>0</v>
      </c>
      <c r="G2869" s="5">
        <v>0</v>
      </c>
      <c r="H2869" s="4" t="s">
        <v>11</v>
      </c>
      <c r="I2869" s="5">
        <v>0</v>
      </c>
      <c r="J2869" s="4">
        <v>45916.294664351852</v>
      </c>
    </row>
    <row r="2870" spans="1:10" x14ac:dyDescent="0.2">
      <c r="A2870" s="2" t="s">
        <v>10</v>
      </c>
      <c r="B2870" s="3" t="str">
        <f t="shared" si="54"/>
        <v>France - HCP Survey Email - June 2025</v>
      </c>
      <c r="C2870" s="3" t="str">
        <f>HYPERLINK("https://otsuka-europe-crm.veevavault.com/ui/#object/sent_email__v/VBLZ025E82GNPDV", "SE-000274566")</f>
        <v>SE-000274566</v>
      </c>
      <c r="D2870" s="4" t="s">
        <v>11</v>
      </c>
      <c r="E2870" s="5">
        <v>0</v>
      </c>
      <c r="F2870" s="5">
        <v>0</v>
      </c>
      <c r="G2870" s="5">
        <v>0</v>
      </c>
      <c r="H2870" s="4" t="s">
        <v>11</v>
      </c>
      <c r="I2870" s="5">
        <v>0</v>
      </c>
      <c r="J2870" s="4">
        <v>45916.294930555552</v>
      </c>
    </row>
    <row r="2871" spans="1:10" x14ac:dyDescent="0.2">
      <c r="A2871" s="2" t="s">
        <v>10</v>
      </c>
      <c r="B2871" s="3" t="str">
        <f t="shared" si="54"/>
        <v>France - HCP Survey Email - June 2025</v>
      </c>
      <c r="C2871" s="3" t="str">
        <f>HYPERLINK("https://otsuka-europe-crm.veevavault.com/ui/#object/sent_email__v/VBLZ025E82GNPDW", "SE-000274567")</f>
        <v>SE-000274567</v>
      </c>
      <c r="D2871" s="4" t="s">
        <v>11</v>
      </c>
      <c r="E2871" s="5">
        <v>0</v>
      </c>
      <c r="F2871" s="5">
        <v>0</v>
      </c>
      <c r="G2871" s="5">
        <v>0</v>
      </c>
      <c r="H2871" s="4" t="s">
        <v>11</v>
      </c>
      <c r="I2871" s="5">
        <v>0</v>
      </c>
      <c r="J2871" s="4">
        <v>45916.294293981482</v>
      </c>
    </row>
    <row r="2872" spans="1:10" x14ac:dyDescent="0.2">
      <c r="A2872" s="2" t="s">
        <v>10</v>
      </c>
      <c r="B2872" s="3" t="str">
        <f t="shared" si="54"/>
        <v>France - HCP Survey Email - June 2025</v>
      </c>
      <c r="C2872" s="3" t="str">
        <f>HYPERLINK("https://otsuka-europe-crm.veevavault.com/ui/#object/sent_email__v/VBLZ025E82GNPDX", "SE-000274568")</f>
        <v>SE-000274568</v>
      </c>
      <c r="D2872" s="4" t="s">
        <v>11</v>
      </c>
      <c r="E2872" s="5">
        <v>0</v>
      </c>
      <c r="F2872" s="5">
        <v>0</v>
      </c>
      <c r="G2872" s="5">
        <v>0</v>
      </c>
      <c r="H2872" s="4" t="s">
        <v>11</v>
      </c>
      <c r="I2872" s="5">
        <v>0</v>
      </c>
      <c r="J2872" s="4">
        <v>45916.294432870367</v>
      </c>
    </row>
    <row r="2873" spans="1:10" x14ac:dyDescent="0.2">
      <c r="A2873" s="2" t="s">
        <v>10</v>
      </c>
      <c r="B2873" s="3" t="str">
        <f t="shared" si="54"/>
        <v>France - HCP Survey Email - June 2025</v>
      </c>
      <c r="C2873" s="3" t="str">
        <f>HYPERLINK("https://otsuka-europe-crm.veevavault.com/ui/#object/sent_email__v/VBLZ025E82GNPDY", "SE-000274569")</f>
        <v>SE-000274569</v>
      </c>
      <c r="D2873" s="4" t="s">
        <v>11</v>
      </c>
      <c r="E2873" s="5">
        <v>0</v>
      </c>
      <c r="F2873" s="5">
        <v>0</v>
      </c>
      <c r="G2873" s="5">
        <v>0</v>
      </c>
      <c r="H2873" s="4" t="s">
        <v>11</v>
      </c>
      <c r="I2873" s="5">
        <v>0</v>
      </c>
      <c r="J2873" s="4">
        <v>45916.294803240744</v>
      </c>
    </row>
    <row r="2874" spans="1:10" x14ac:dyDescent="0.2">
      <c r="A2874" s="2" t="s">
        <v>10</v>
      </c>
      <c r="B2874" s="3" t="str">
        <f t="shared" si="54"/>
        <v>France - HCP Survey Email - June 2025</v>
      </c>
      <c r="C2874" s="3" t="str">
        <f>HYPERLINK("https://otsuka-europe-crm.veevavault.com/ui/#object/sent_email__v/VBLZ025E82GNPDZ", "SE-000274570")</f>
        <v>SE-000274570</v>
      </c>
      <c r="D2874" s="4">
        <v>45916.774108796293</v>
      </c>
      <c r="E2874" s="5">
        <v>1</v>
      </c>
      <c r="F2874" s="5">
        <v>1</v>
      </c>
      <c r="G2874" s="5">
        <v>0</v>
      </c>
      <c r="H2874" s="4" t="s">
        <v>11</v>
      </c>
      <c r="I2874" s="5">
        <v>0</v>
      </c>
      <c r="J2874" s="4">
        <v>45916.294918981483</v>
      </c>
    </row>
    <row r="2875" spans="1:10" x14ac:dyDescent="0.2">
      <c r="A2875" s="2" t="s">
        <v>10</v>
      </c>
      <c r="B2875" s="3" t="str">
        <f t="shared" si="54"/>
        <v>France - HCP Survey Email - June 2025</v>
      </c>
      <c r="C2875" s="3" t="str">
        <f>HYPERLINK("https://otsuka-europe-crm.veevavault.com/ui/#object/sent_email__v/VBLZ025E82GNPE0", "SE-000274571")</f>
        <v>SE-000274571</v>
      </c>
      <c r="D2875" s="4" t="s">
        <v>11</v>
      </c>
      <c r="E2875" s="5">
        <v>0</v>
      </c>
      <c r="F2875" s="5">
        <v>0</v>
      </c>
      <c r="G2875" s="5">
        <v>0</v>
      </c>
      <c r="H2875" s="4" t="s">
        <v>11</v>
      </c>
      <c r="I2875" s="5">
        <v>0</v>
      </c>
      <c r="J2875" s="4">
        <v>45916.294340277775</v>
      </c>
    </row>
    <row r="2876" spans="1:10" x14ac:dyDescent="0.2">
      <c r="A2876" s="2" t="s">
        <v>10</v>
      </c>
      <c r="B2876" s="3" t="str">
        <f t="shared" si="54"/>
        <v>France - HCP Survey Email - June 2025</v>
      </c>
      <c r="C2876" s="3" t="str">
        <f>HYPERLINK("https://otsuka-europe-crm.veevavault.com/ui/#object/sent_email__v/VBLZ025E82GNPE1", "SE-000274572")</f>
        <v>SE-000274572</v>
      </c>
      <c r="D2876" s="4" t="s">
        <v>11</v>
      </c>
      <c r="E2876" s="5">
        <v>0</v>
      </c>
      <c r="F2876" s="5">
        <v>0</v>
      </c>
      <c r="G2876" s="5">
        <v>0</v>
      </c>
      <c r="H2876" s="4" t="s">
        <v>11</v>
      </c>
      <c r="I2876" s="5">
        <v>0</v>
      </c>
      <c r="J2876" s="4">
        <v>45916.294629629629</v>
      </c>
    </row>
    <row r="2877" spans="1:10" x14ac:dyDescent="0.2">
      <c r="A2877" s="2" t="s">
        <v>10</v>
      </c>
      <c r="B2877" s="3" t="str">
        <f t="shared" si="54"/>
        <v>France - HCP Survey Email - June 2025</v>
      </c>
      <c r="C2877" s="3" t="str">
        <f>HYPERLINK("https://otsuka-europe-crm.veevavault.com/ui/#object/sent_email__v/VBLZ025E82GNPE2", "SE-000274573")</f>
        <v>SE-000274573</v>
      </c>
      <c r="D2877" s="4">
        <v>45920.727453703701</v>
      </c>
      <c r="E2877" s="5">
        <v>1</v>
      </c>
      <c r="F2877" s="5">
        <v>1</v>
      </c>
      <c r="G2877" s="5">
        <v>0</v>
      </c>
      <c r="H2877" s="4" t="s">
        <v>11</v>
      </c>
      <c r="I2877" s="5">
        <v>0</v>
      </c>
      <c r="J2877" s="4">
        <v>45916.29483796296</v>
      </c>
    </row>
    <row r="2878" spans="1:10" x14ac:dyDescent="0.2">
      <c r="A2878" s="2" t="s">
        <v>10</v>
      </c>
      <c r="B2878" s="3" t="str">
        <f t="shared" si="54"/>
        <v>France - HCP Survey Email - June 2025</v>
      </c>
      <c r="C2878" s="3" t="str">
        <f>HYPERLINK("https://otsuka-europe-crm.veevavault.com/ui/#object/sent_email__v/VBLZ025E82GNPE3", "SE-000274574")</f>
        <v>SE-000274574</v>
      </c>
      <c r="D2878" s="4" t="s">
        <v>11</v>
      </c>
      <c r="E2878" s="5">
        <v>0</v>
      </c>
      <c r="F2878" s="5">
        <v>0</v>
      </c>
      <c r="G2878" s="5">
        <v>0</v>
      </c>
      <c r="H2878" s="4" t="s">
        <v>11</v>
      </c>
      <c r="I2878" s="5">
        <v>0</v>
      </c>
      <c r="J2878" s="4">
        <v>45916.294282407405</v>
      </c>
    </row>
    <row r="2879" spans="1:10" x14ac:dyDescent="0.2">
      <c r="A2879" s="2" t="s">
        <v>10</v>
      </c>
      <c r="B2879" s="3" t="str">
        <f t="shared" si="54"/>
        <v>France - HCP Survey Email - June 2025</v>
      </c>
      <c r="C2879" s="3" t="str">
        <f>HYPERLINK("https://otsuka-europe-crm.veevavault.com/ui/#object/sent_email__v/VBLZ025E82GNPE4", "SE-000274575")</f>
        <v>SE-000274575</v>
      </c>
      <c r="D2879" s="4" t="s">
        <v>11</v>
      </c>
      <c r="E2879" s="5">
        <v>0</v>
      </c>
      <c r="F2879" s="5">
        <v>0</v>
      </c>
      <c r="G2879" s="5">
        <v>0</v>
      </c>
      <c r="H2879" s="4" t="s">
        <v>11</v>
      </c>
      <c r="I2879" s="5">
        <v>0</v>
      </c>
      <c r="J2879" s="4">
        <v>45916.294444444444</v>
      </c>
    </row>
    <row r="2880" spans="1:10" x14ac:dyDescent="0.2">
      <c r="A2880" s="2" t="s">
        <v>10</v>
      </c>
      <c r="B2880" s="3" t="str">
        <f t="shared" si="54"/>
        <v>France - HCP Survey Email - June 2025</v>
      </c>
      <c r="C2880" s="3" t="str">
        <f>HYPERLINK("https://otsuka-europe-crm.veevavault.com/ui/#object/sent_email__v/VBLZ025E82GNPE5", "SE-000274576")</f>
        <v>SE-000274576</v>
      </c>
      <c r="D2880" s="4" t="s">
        <v>11</v>
      </c>
      <c r="E2880" s="5">
        <v>0</v>
      </c>
      <c r="F2880" s="5">
        <v>0</v>
      </c>
      <c r="G2880" s="5">
        <v>0</v>
      </c>
      <c r="H2880" s="4" t="s">
        <v>11</v>
      </c>
      <c r="I2880" s="5">
        <v>0</v>
      </c>
      <c r="J2880" s="4">
        <v>45916.294675925928</v>
      </c>
    </row>
    <row r="2881" spans="1:10" x14ac:dyDescent="0.2">
      <c r="A2881" s="2" t="s">
        <v>10</v>
      </c>
      <c r="B2881" s="3" t="str">
        <f t="shared" ref="B2881:B2944" si="55">HYPERLINK("https://otsuka-europe-crm.veevavault.com/ui/#object/approved_document__v/V5OZ025E82TMV97", "France - HCP Survey Email - June 2025")</f>
        <v>France - HCP Survey Email - June 2025</v>
      </c>
      <c r="C2881" s="3" t="str">
        <f>HYPERLINK("https://otsuka-europe-crm.veevavault.com/ui/#object/sent_email__v/VBLZ025E82GNPE6", "SE-000274577")</f>
        <v>SE-000274577</v>
      </c>
      <c r="D2881" s="4" t="s">
        <v>11</v>
      </c>
      <c r="E2881" s="5">
        <v>0</v>
      </c>
      <c r="F2881" s="5">
        <v>0</v>
      </c>
      <c r="G2881" s="5">
        <v>0</v>
      </c>
      <c r="H2881" s="4" t="s">
        <v>11</v>
      </c>
      <c r="I2881" s="5">
        <v>0</v>
      </c>
      <c r="J2881" s="4">
        <v>45916.294664351852</v>
      </c>
    </row>
    <row r="2882" spans="1:10" x14ac:dyDescent="0.2">
      <c r="A2882" s="2" t="s">
        <v>10</v>
      </c>
      <c r="B2882" s="3" t="str">
        <f t="shared" si="55"/>
        <v>France - HCP Survey Email - June 2025</v>
      </c>
      <c r="C2882" s="3" t="str">
        <f>HYPERLINK("https://otsuka-europe-crm.veevavault.com/ui/#object/sent_email__v/VBLZ025E82GNPE7", "SE-000274578")</f>
        <v>SE-000274578</v>
      </c>
      <c r="D2882" s="4" t="s">
        <v>11</v>
      </c>
      <c r="E2882" s="5">
        <v>0</v>
      </c>
      <c r="F2882" s="5">
        <v>0</v>
      </c>
      <c r="G2882" s="5">
        <v>0</v>
      </c>
      <c r="H2882" s="4" t="s">
        <v>11</v>
      </c>
      <c r="I2882" s="5">
        <v>0</v>
      </c>
      <c r="J2882" s="4">
        <v>45916.294849537036</v>
      </c>
    </row>
    <row r="2883" spans="1:10" x14ac:dyDescent="0.2">
      <c r="A2883" s="2" t="s">
        <v>10</v>
      </c>
      <c r="B2883" s="3" t="str">
        <f t="shared" si="55"/>
        <v>France - HCP Survey Email - June 2025</v>
      </c>
      <c r="C2883" s="3" t="str">
        <f>HYPERLINK("https://otsuka-europe-crm.veevavault.com/ui/#object/sent_email__v/VBLZ025E82GNPE8", "SE-000274579")</f>
        <v>SE-000274579</v>
      </c>
      <c r="D2883" s="4">
        <v>45916.453125</v>
      </c>
      <c r="E2883" s="5">
        <v>1</v>
      </c>
      <c r="F2883" s="5">
        <v>1</v>
      </c>
      <c r="G2883" s="5">
        <v>0</v>
      </c>
      <c r="H2883" s="4" t="s">
        <v>11</v>
      </c>
      <c r="I2883" s="5">
        <v>0</v>
      </c>
      <c r="J2883" s="4">
        <v>45916.294317129628</v>
      </c>
    </row>
    <row r="2884" spans="1:10" x14ac:dyDescent="0.2">
      <c r="A2884" s="2" t="s">
        <v>10</v>
      </c>
      <c r="B2884" s="3" t="str">
        <f t="shared" si="55"/>
        <v>France - HCP Survey Email - June 2025</v>
      </c>
      <c r="C2884" s="3" t="str">
        <f>HYPERLINK("https://otsuka-europe-crm.veevavault.com/ui/#object/sent_email__v/VBLZ025E82GNPE9", "SE-000274580")</f>
        <v>SE-000274580</v>
      </c>
      <c r="D2884" s="4">
        <v>45917.711712962962</v>
      </c>
      <c r="E2884" s="5">
        <v>1</v>
      </c>
      <c r="F2884" s="5">
        <v>5</v>
      </c>
      <c r="G2884" s="5">
        <v>1</v>
      </c>
      <c r="H2884" s="4">
        <v>45917.665185185186</v>
      </c>
      <c r="I2884" s="5">
        <v>2</v>
      </c>
      <c r="J2884" s="4">
        <v>45916.294444444444</v>
      </c>
    </row>
    <row r="2885" spans="1:10" x14ac:dyDescent="0.2">
      <c r="A2885" s="2" t="s">
        <v>10</v>
      </c>
      <c r="B2885" s="3" t="str">
        <f t="shared" si="55"/>
        <v>France - HCP Survey Email - June 2025</v>
      </c>
      <c r="C2885" s="3" t="str">
        <f>HYPERLINK("https://otsuka-europe-crm.veevavault.com/ui/#object/sent_email__v/VBLZ025E82GNPEA", "SE-000274581")</f>
        <v>SE-000274581</v>
      </c>
      <c r="D2885" s="4" t="s">
        <v>11</v>
      </c>
      <c r="E2885" s="5">
        <v>0</v>
      </c>
      <c r="F2885" s="5">
        <v>0</v>
      </c>
      <c r="G2885" s="5">
        <v>0</v>
      </c>
      <c r="H2885" s="4" t="s">
        <v>11</v>
      </c>
      <c r="I2885" s="5">
        <v>0</v>
      </c>
      <c r="J2885" s="4">
        <v>45916.294652777775</v>
      </c>
    </row>
    <row r="2886" spans="1:10" x14ac:dyDescent="0.2">
      <c r="A2886" s="2" t="s">
        <v>10</v>
      </c>
      <c r="B2886" s="3" t="str">
        <f t="shared" si="55"/>
        <v>France - HCP Survey Email - June 2025</v>
      </c>
      <c r="C2886" s="3" t="str">
        <f>HYPERLINK("https://otsuka-europe-crm.veevavault.com/ui/#object/sent_email__v/VBLZ025E82GNPEB", "SE-000274582")</f>
        <v>SE-000274582</v>
      </c>
      <c r="D2886" s="4" t="s">
        <v>11</v>
      </c>
      <c r="E2886" s="5">
        <v>0</v>
      </c>
      <c r="F2886" s="5">
        <v>0</v>
      </c>
      <c r="G2886" s="5">
        <v>0</v>
      </c>
      <c r="H2886" s="4" t="s">
        <v>11</v>
      </c>
      <c r="I2886" s="5">
        <v>0</v>
      </c>
      <c r="J2886" s="4">
        <v>45916.294930555552</v>
      </c>
    </row>
    <row r="2887" spans="1:10" x14ac:dyDescent="0.2">
      <c r="A2887" s="2" t="s">
        <v>10</v>
      </c>
      <c r="B2887" s="3" t="str">
        <f t="shared" si="55"/>
        <v>France - HCP Survey Email - June 2025</v>
      </c>
      <c r="C2887" s="3" t="str">
        <f>HYPERLINK("https://otsuka-europe-crm.veevavault.com/ui/#object/sent_email__v/VBLZ025E82GNPEC", "SE-000274583")</f>
        <v>SE-000274583</v>
      </c>
      <c r="D2887" s="4" t="s">
        <v>11</v>
      </c>
      <c r="E2887" s="5">
        <v>0</v>
      </c>
      <c r="F2887" s="5">
        <v>0</v>
      </c>
      <c r="G2887" s="5">
        <v>0</v>
      </c>
      <c r="H2887" s="4" t="s">
        <v>11</v>
      </c>
      <c r="I2887" s="5">
        <v>0</v>
      </c>
      <c r="J2887" s="4">
        <v>45916.294259259259</v>
      </c>
    </row>
    <row r="2888" spans="1:10" x14ac:dyDescent="0.2">
      <c r="A2888" s="2" t="s">
        <v>10</v>
      </c>
      <c r="B2888" s="3" t="str">
        <f t="shared" si="55"/>
        <v>France - HCP Survey Email - June 2025</v>
      </c>
      <c r="C2888" s="3" t="str">
        <f>HYPERLINK("https://otsuka-europe-crm.veevavault.com/ui/#object/sent_email__v/VBLZ025E82GNPED", "SE-000274584")</f>
        <v>SE-000274584</v>
      </c>
      <c r="D2888" s="4" t="s">
        <v>11</v>
      </c>
      <c r="E2888" s="5">
        <v>0</v>
      </c>
      <c r="F2888" s="5">
        <v>0</v>
      </c>
      <c r="G2888" s="5">
        <v>0</v>
      </c>
      <c r="H2888" s="4" t="s">
        <v>11</v>
      </c>
      <c r="I2888" s="5">
        <v>0</v>
      </c>
      <c r="J2888" s="4">
        <v>45916.294490740744</v>
      </c>
    </row>
    <row r="2889" spans="1:10" x14ac:dyDescent="0.2">
      <c r="A2889" s="2" t="s">
        <v>10</v>
      </c>
      <c r="B2889" s="3" t="str">
        <f t="shared" si="55"/>
        <v>France - HCP Survey Email - June 2025</v>
      </c>
      <c r="C2889" s="3" t="str">
        <f>HYPERLINK("https://otsuka-europe-crm.veevavault.com/ui/#object/sent_email__v/VBLZ025E82GNPEE", "SE-000274585")</f>
        <v>SE-000274585</v>
      </c>
      <c r="D2889" s="4" t="s">
        <v>11</v>
      </c>
      <c r="E2889" s="5">
        <v>0</v>
      </c>
      <c r="F2889" s="5">
        <v>0</v>
      </c>
      <c r="G2889" s="5">
        <v>0</v>
      </c>
      <c r="H2889" s="4" t="s">
        <v>11</v>
      </c>
      <c r="I2889" s="5">
        <v>0</v>
      </c>
      <c r="J2889" s="4">
        <v>45916.29482638889</v>
      </c>
    </row>
    <row r="2890" spans="1:10" x14ac:dyDescent="0.2">
      <c r="A2890" s="2" t="s">
        <v>10</v>
      </c>
      <c r="B2890" s="3" t="str">
        <f t="shared" si="55"/>
        <v>France - HCP Survey Email - June 2025</v>
      </c>
      <c r="C2890" s="3" t="str">
        <f>HYPERLINK("https://otsuka-europe-crm.veevavault.com/ui/#object/sent_email__v/VBLZ025E82GNPEF", "SE-000274586")</f>
        <v>SE-000274586</v>
      </c>
      <c r="D2890" s="4" t="s">
        <v>11</v>
      </c>
      <c r="E2890" s="5">
        <v>0</v>
      </c>
      <c r="F2890" s="5">
        <v>0</v>
      </c>
      <c r="G2890" s="5">
        <v>0</v>
      </c>
      <c r="H2890" s="4" t="s">
        <v>11</v>
      </c>
      <c r="I2890" s="5">
        <v>0</v>
      </c>
      <c r="J2890" s="4">
        <v>45916.295023148145</v>
      </c>
    </row>
    <row r="2891" spans="1:10" x14ac:dyDescent="0.2">
      <c r="A2891" s="2" t="s">
        <v>10</v>
      </c>
      <c r="B2891" s="3" t="str">
        <f t="shared" si="55"/>
        <v>France - HCP Survey Email - June 2025</v>
      </c>
      <c r="C2891" s="3" t="str">
        <f>HYPERLINK("https://otsuka-europe-crm.veevavault.com/ui/#object/sent_email__v/VBLZ025E82GNPEG", "SE-000274587")</f>
        <v>SE-000274587</v>
      </c>
      <c r="D2891" s="4" t="s">
        <v>11</v>
      </c>
      <c r="E2891" s="5">
        <v>0</v>
      </c>
      <c r="F2891" s="5">
        <v>0</v>
      </c>
      <c r="G2891" s="5">
        <v>0</v>
      </c>
      <c r="H2891" s="4" t="s">
        <v>11</v>
      </c>
      <c r="I2891" s="5">
        <v>0</v>
      </c>
      <c r="J2891" s="4">
        <v>45916.294386574074</v>
      </c>
    </row>
    <row r="2892" spans="1:10" x14ac:dyDescent="0.2">
      <c r="A2892" s="2" t="s">
        <v>10</v>
      </c>
      <c r="B2892" s="3" t="str">
        <f t="shared" si="55"/>
        <v>France - HCP Survey Email - June 2025</v>
      </c>
      <c r="C2892" s="3" t="str">
        <f>HYPERLINK("https://otsuka-europe-crm.veevavault.com/ui/#object/sent_email__v/VBLZ025E82GNPEH", "SE-000274588")</f>
        <v>SE-000274588</v>
      </c>
      <c r="D2892" s="4" t="s">
        <v>11</v>
      </c>
      <c r="E2892" s="5">
        <v>0</v>
      </c>
      <c r="F2892" s="5">
        <v>0</v>
      </c>
      <c r="G2892" s="5">
        <v>0</v>
      </c>
      <c r="H2892" s="4" t="s">
        <v>11</v>
      </c>
      <c r="I2892" s="5">
        <v>0</v>
      </c>
      <c r="J2892" s="4">
        <v>45916.294571759259</v>
      </c>
    </row>
    <row r="2893" spans="1:10" x14ac:dyDescent="0.2">
      <c r="A2893" s="2" t="s">
        <v>10</v>
      </c>
      <c r="B2893" s="3" t="str">
        <f t="shared" si="55"/>
        <v>France - HCP Survey Email - June 2025</v>
      </c>
      <c r="C2893" s="3" t="str">
        <f>HYPERLINK("https://otsuka-europe-crm.veevavault.com/ui/#object/sent_email__v/VBLZ025E82GNPEI", "SE-000274589")</f>
        <v>SE-000274589</v>
      </c>
      <c r="D2893" s="4">
        <v>45916.92591435185</v>
      </c>
      <c r="E2893" s="5">
        <v>1</v>
      </c>
      <c r="F2893" s="5">
        <v>5</v>
      </c>
      <c r="G2893" s="5">
        <v>1</v>
      </c>
      <c r="H2893" s="4">
        <v>45916.322604166664</v>
      </c>
      <c r="I2893" s="5">
        <v>1</v>
      </c>
      <c r="J2893" s="4">
        <v>45916.29482638889</v>
      </c>
    </row>
    <row r="2894" spans="1:10" x14ac:dyDescent="0.2">
      <c r="A2894" s="2" t="s">
        <v>10</v>
      </c>
      <c r="B2894" s="3" t="str">
        <f t="shared" si="55"/>
        <v>France - HCP Survey Email - June 2025</v>
      </c>
      <c r="C2894" s="3" t="str">
        <f>HYPERLINK("https://otsuka-europe-crm.veevavault.com/ui/#object/sent_email__v/VBLZ025E82GNPEJ", "SE-000274590")</f>
        <v>SE-000274590</v>
      </c>
      <c r="D2894" s="4" t="s">
        <v>11</v>
      </c>
      <c r="E2894" s="5">
        <v>0</v>
      </c>
      <c r="F2894" s="5">
        <v>0</v>
      </c>
      <c r="G2894" s="5">
        <v>0</v>
      </c>
      <c r="H2894" s="4" t="s">
        <v>11</v>
      </c>
      <c r="I2894" s="5">
        <v>0</v>
      </c>
      <c r="J2894" s="4">
        <v>45916.294224537036</v>
      </c>
    </row>
    <row r="2895" spans="1:10" x14ac:dyDescent="0.2">
      <c r="A2895" s="2" t="s">
        <v>10</v>
      </c>
      <c r="B2895" s="3" t="str">
        <f t="shared" si="55"/>
        <v>France - HCP Survey Email - June 2025</v>
      </c>
      <c r="C2895" s="3" t="str">
        <f>HYPERLINK("https://otsuka-europe-crm.veevavault.com/ui/#object/sent_email__v/VBLZ025E82GNPEK", "SE-000274591")</f>
        <v>SE-000274591</v>
      </c>
      <c r="D2895" s="4" t="s">
        <v>11</v>
      </c>
      <c r="E2895" s="5">
        <v>0</v>
      </c>
      <c r="F2895" s="5">
        <v>0</v>
      </c>
      <c r="G2895" s="5">
        <v>0</v>
      </c>
      <c r="H2895" s="4" t="s">
        <v>11</v>
      </c>
      <c r="I2895" s="5">
        <v>0</v>
      </c>
      <c r="J2895" s="4">
        <v>45916.294444444444</v>
      </c>
    </row>
    <row r="2896" spans="1:10" x14ac:dyDescent="0.2">
      <c r="A2896" s="2" t="s">
        <v>10</v>
      </c>
      <c r="B2896" s="3" t="str">
        <f t="shared" si="55"/>
        <v>France - HCP Survey Email - June 2025</v>
      </c>
      <c r="C2896" s="3" t="str">
        <f>HYPERLINK("https://otsuka-europe-crm.veevavault.com/ui/#object/sent_email__v/VBLZ025E82GNPEL", "SE-000274592")</f>
        <v>SE-000274592</v>
      </c>
      <c r="D2896" s="4">
        <v>45916.294895833336</v>
      </c>
      <c r="E2896" s="5">
        <v>1</v>
      </c>
      <c r="F2896" s="5">
        <v>2</v>
      </c>
      <c r="G2896" s="5">
        <v>1</v>
      </c>
      <c r="H2896" s="4">
        <v>45916.294895833336</v>
      </c>
      <c r="I2896" s="5">
        <v>2</v>
      </c>
      <c r="J2896" s="4">
        <v>45916.294606481482</v>
      </c>
    </row>
    <row r="2897" spans="1:10" x14ac:dyDescent="0.2">
      <c r="A2897" s="2" t="s">
        <v>10</v>
      </c>
      <c r="B2897" s="3" t="str">
        <f t="shared" si="55"/>
        <v>France - HCP Survey Email - June 2025</v>
      </c>
      <c r="C2897" s="3" t="str">
        <f>HYPERLINK("https://otsuka-europe-crm.veevavault.com/ui/#object/sent_email__v/VBLZ025E82GNPEN", "SE-000274594")</f>
        <v>SE-000274594</v>
      </c>
      <c r="D2897" s="4" t="s">
        <v>11</v>
      </c>
      <c r="E2897" s="5">
        <v>0</v>
      </c>
      <c r="F2897" s="5">
        <v>0</v>
      </c>
      <c r="G2897" s="5">
        <v>0</v>
      </c>
      <c r="H2897" s="4" t="s">
        <v>11</v>
      </c>
      <c r="I2897" s="5">
        <v>0</v>
      </c>
      <c r="J2897" s="4">
        <v>45916.294282407405</v>
      </c>
    </row>
    <row r="2898" spans="1:10" x14ac:dyDescent="0.2">
      <c r="A2898" s="2" t="s">
        <v>10</v>
      </c>
      <c r="B2898" s="3" t="str">
        <f t="shared" si="55"/>
        <v>France - HCP Survey Email - June 2025</v>
      </c>
      <c r="C2898" s="3" t="str">
        <f>HYPERLINK("https://otsuka-europe-crm.veevavault.com/ui/#object/sent_email__v/VBLZ025E82GNPEO", "SE-000274595")</f>
        <v>SE-000274595</v>
      </c>
      <c r="D2898" s="4" t="s">
        <v>11</v>
      </c>
      <c r="E2898" s="5">
        <v>0</v>
      </c>
      <c r="F2898" s="5">
        <v>0</v>
      </c>
      <c r="G2898" s="5">
        <v>0</v>
      </c>
      <c r="H2898" s="4" t="s">
        <v>11</v>
      </c>
      <c r="I2898" s="5">
        <v>0</v>
      </c>
      <c r="J2898" s="4">
        <v>45916.294502314813</v>
      </c>
    </row>
    <row r="2899" spans="1:10" x14ac:dyDescent="0.2">
      <c r="A2899" s="2" t="s">
        <v>10</v>
      </c>
      <c r="B2899" s="3" t="str">
        <f t="shared" si="55"/>
        <v>France - HCP Survey Email - June 2025</v>
      </c>
      <c r="C2899" s="3" t="str">
        <f>HYPERLINK("https://otsuka-europe-crm.veevavault.com/ui/#object/sent_email__v/VBLZ025E82GNPEP", "SE-000274596")</f>
        <v>SE-000274596</v>
      </c>
      <c r="D2899" s="4" t="s">
        <v>11</v>
      </c>
      <c r="E2899" s="5">
        <v>0</v>
      </c>
      <c r="F2899" s="5">
        <v>0</v>
      </c>
      <c r="G2899" s="5">
        <v>0</v>
      </c>
      <c r="H2899" s="4" t="s">
        <v>11</v>
      </c>
      <c r="I2899" s="5">
        <v>0</v>
      </c>
      <c r="J2899" s="4">
        <v>45916.294756944444</v>
      </c>
    </row>
    <row r="2900" spans="1:10" x14ac:dyDescent="0.2">
      <c r="A2900" s="2" t="s">
        <v>10</v>
      </c>
      <c r="B2900" s="3" t="str">
        <f t="shared" si="55"/>
        <v>France - HCP Survey Email - June 2025</v>
      </c>
      <c r="C2900" s="3" t="str">
        <f>HYPERLINK("https://otsuka-europe-crm.veevavault.com/ui/#object/sent_email__v/VBLZ025E82GNPEQ", "SE-000274597")</f>
        <v>SE-000274597</v>
      </c>
      <c r="D2900" s="4" t="s">
        <v>11</v>
      </c>
      <c r="E2900" s="5">
        <v>0</v>
      </c>
      <c r="F2900" s="5">
        <v>0</v>
      </c>
      <c r="G2900" s="5">
        <v>0</v>
      </c>
      <c r="H2900" s="4" t="s">
        <v>11</v>
      </c>
      <c r="I2900" s="5">
        <v>0</v>
      </c>
      <c r="J2900" s="4">
        <v>45916.295023148145</v>
      </c>
    </row>
    <row r="2901" spans="1:10" x14ac:dyDescent="0.2">
      <c r="A2901" s="2" t="s">
        <v>10</v>
      </c>
      <c r="B2901" s="3" t="str">
        <f t="shared" si="55"/>
        <v>France - HCP Survey Email - June 2025</v>
      </c>
      <c r="C2901" s="3" t="str">
        <f>HYPERLINK("https://otsuka-europe-crm.veevavault.com/ui/#object/sent_email__v/VBLZ025E82GNPER", "SE-000274598")</f>
        <v>SE-000274598</v>
      </c>
      <c r="D2901" s="4" t="s">
        <v>11</v>
      </c>
      <c r="E2901" s="5">
        <v>0</v>
      </c>
      <c r="F2901" s="5">
        <v>0</v>
      </c>
      <c r="G2901" s="5">
        <v>0</v>
      </c>
      <c r="H2901" s="4" t="s">
        <v>11</v>
      </c>
      <c r="I2901" s="5">
        <v>0</v>
      </c>
      <c r="J2901" s="4">
        <v>45916.294409722221</v>
      </c>
    </row>
    <row r="2902" spans="1:10" x14ac:dyDescent="0.2">
      <c r="A2902" s="2" t="s">
        <v>10</v>
      </c>
      <c r="B2902" s="3" t="str">
        <f t="shared" si="55"/>
        <v>France - HCP Survey Email - June 2025</v>
      </c>
      <c r="C2902" s="3" t="str">
        <f>HYPERLINK("https://otsuka-europe-crm.veevavault.com/ui/#object/sent_email__v/VBLZ025E82GNPES", "SE-000274599")</f>
        <v>SE-000274599</v>
      </c>
      <c r="D2902" s="4">
        <v>45916.345775462964</v>
      </c>
      <c r="E2902" s="5">
        <v>1</v>
      </c>
      <c r="F2902" s="5">
        <v>1</v>
      </c>
      <c r="G2902" s="5">
        <v>0</v>
      </c>
      <c r="H2902" s="4" t="s">
        <v>11</v>
      </c>
      <c r="I2902" s="5">
        <v>0</v>
      </c>
      <c r="J2902" s="4">
        <v>45916.294641203705</v>
      </c>
    </row>
    <row r="2903" spans="1:10" x14ac:dyDescent="0.2">
      <c r="A2903" s="2" t="s">
        <v>10</v>
      </c>
      <c r="B2903" s="3" t="str">
        <f t="shared" si="55"/>
        <v>France - HCP Survey Email - June 2025</v>
      </c>
      <c r="C2903" s="3" t="str">
        <f>HYPERLINK("https://otsuka-europe-crm.veevavault.com/ui/#object/sent_email__v/VBLZ025E82GNPET", "SE-000274600")</f>
        <v>SE-000274600</v>
      </c>
      <c r="D2903" s="4" t="s">
        <v>11</v>
      </c>
      <c r="E2903" s="5">
        <v>0</v>
      </c>
      <c r="F2903" s="5">
        <v>0</v>
      </c>
      <c r="G2903" s="5">
        <v>0</v>
      </c>
      <c r="H2903" s="4" t="s">
        <v>11</v>
      </c>
      <c r="I2903" s="5">
        <v>0</v>
      </c>
      <c r="J2903" s="4">
        <v>45916.294803240744</v>
      </c>
    </row>
    <row r="2904" spans="1:10" x14ac:dyDescent="0.2">
      <c r="A2904" s="2" t="s">
        <v>10</v>
      </c>
      <c r="B2904" s="3" t="str">
        <f t="shared" si="55"/>
        <v>France - HCP Survey Email - June 2025</v>
      </c>
      <c r="C2904" s="3" t="str">
        <f>HYPERLINK("https://otsuka-europe-crm.veevavault.com/ui/#object/sent_email__v/VBLZ025E82GNPEU", "SE-000274601")</f>
        <v>SE-000274601</v>
      </c>
      <c r="D2904" s="4" t="s">
        <v>11</v>
      </c>
      <c r="E2904" s="5">
        <v>0</v>
      </c>
      <c r="F2904" s="5">
        <v>0</v>
      </c>
      <c r="G2904" s="5">
        <v>0</v>
      </c>
      <c r="H2904" s="4" t="s">
        <v>11</v>
      </c>
      <c r="I2904" s="5">
        <v>0</v>
      </c>
      <c r="J2904" s="4">
        <v>45916.294317129628</v>
      </c>
    </row>
    <row r="2905" spans="1:10" x14ac:dyDescent="0.2">
      <c r="A2905" s="2" t="s">
        <v>10</v>
      </c>
      <c r="B2905" s="3" t="str">
        <f t="shared" si="55"/>
        <v>France - HCP Survey Email - June 2025</v>
      </c>
      <c r="C2905" s="3" t="str">
        <f>HYPERLINK("https://otsuka-europe-crm.veevavault.com/ui/#object/sent_email__v/VBLZ025E82GNPEV", "SE-000274602")</f>
        <v>SE-000274602</v>
      </c>
      <c r="D2905" s="4" t="s">
        <v>11</v>
      </c>
      <c r="E2905" s="5">
        <v>0</v>
      </c>
      <c r="F2905" s="5">
        <v>0</v>
      </c>
      <c r="G2905" s="5">
        <v>0</v>
      </c>
      <c r="H2905" s="4" t="s">
        <v>11</v>
      </c>
      <c r="I2905" s="5">
        <v>0</v>
      </c>
      <c r="J2905" s="4">
        <v>45916.294398148151</v>
      </c>
    </row>
    <row r="2906" spans="1:10" x14ac:dyDescent="0.2">
      <c r="A2906" s="2" t="s">
        <v>10</v>
      </c>
      <c r="B2906" s="3" t="str">
        <f t="shared" si="55"/>
        <v>France - HCP Survey Email - June 2025</v>
      </c>
      <c r="C2906" s="3" t="str">
        <f>HYPERLINK("https://otsuka-europe-crm.veevavault.com/ui/#object/sent_email__v/VBLZ025E82GNPEW", "SE-000274603")</f>
        <v>SE-000274603</v>
      </c>
      <c r="D2906" s="4" t="s">
        <v>11</v>
      </c>
      <c r="E2906" s="5">
        <v>0</v>
      </c>
      <c r="F2906" s="5">
        <v>0</v>
      </c>
      <c r="G2906" s="5">
        <v>0</v>
      </c>
      <c r="H2906" s="4" t="s">
        <v>11</v>
      </c>
      <c r="I2906" s="5">
        <v>0</v>
      </c>
      <c r="J2906" s="4">
        <v>45916.294606481482</v>
      </c>
    </row>
    <row r="2907" spans="1:10" x14ac:dyDescent="0.2">
      <c r="A2907" s="2" t="s">
        <v>10</v>
      </c>
      <c r="B2907" s="3" t="str">
        <f t="shared" si="55"/>
        <v>France - HCP Survey Email - June 2025</v>
      </c>
      <c r="C2907" s="3" t="str">
        <f>HYPERLINK("https://otsuka-europe-crm.veevavault.com/ui/#object/sent_email__v/VBLZ025E82GNPEX", "SE-000274604")</f>
        <v>SE-000274604</v>
      </c>
      <c r="D2907" s="4" t="s">
        <v>11</v>
      </c>
      <c r="E2907" s="5">
        <v>0</v>
      </c>
      <c r="F2907" s="5">
        <v>0</v>
      </c>
      <c r="G2907" s="5">
        <v>0</v>
      </c>
      <c r="H2907" s="4" t="s">
        <v>11</v>
      </c>
      <c r="I2907" s="5">
        <v>0</v>
      </c>
      <c r="J2907" s="4">
        <v>45916.294942129629</v>
      </c>
    </row>
    <row r="2908" spans="1:10" x14ac:dyDescent="0.2">
      <c r="A2908" s="2" t="s">
        <v>10</v>
      </c>
      <c r="B2908" s="3" t="str">
        <f t="shared" si="55"/>
        <v>France - HCP Survey Email - June 2025</v>
      </c>
      <c r="C2908" s="3" t="str">
        <f>HYPERLINK("https://otsuka-europe-crm.veevavault.com/ui/#object/sent_email__v/VBLZ025E82GNPEZ", "SE-000274606")</f>
        <v>SE-000274606</v>
      </c>
      <c r="D2908" s="4" t="s">
        <v>11</v>
      </c>
      <c r="E2908" s="5">
        <v>0</v>
      </c>
      <c r="F2908" s="5">
        <v>0</v>
      </c>
      <c r="G2908" s="5">
        <v>0</v>
      </c>
      <c r="H2908" s="4" t="s">
        <v>11</v>
      </c>
      <c r="I2908" s="5">
        <v>0</v>
      </c>
      <c r="J2908" s="4">
        <v>45916.294456018521</v>
      </c>
    </row>
    <row r="2909" spans="1:10" x14ac:dyDescent="0.2">
      <c r="A2909" s="2" t="s">
        <v>10</v>
      </c>
      <c r="B2909" s="3" t="str">
        <f t="shared" si="55"/>
        <v>France - HCP Survey Email - June 2025</v>
      </c>
      <c r="C2909" s="3" t="str">
        <f>HYPERLINK("https://otsuka-europe-crm.veevavault.com/ui/#object/sent_email__v/VBLZ025E82GNPF0", "SE-000274607")</f>
        <v>SE-000274607</v>
      </c>
      <c r="D2909" s="4" t="s">
        <v>11</v>
      </c>
      <c r="E2909" s="5">
        <v>0</v>
      </c>
      <c r="F2909" s="5">
        <v>0</v>
      </c>
      <c r="G2909" s="5">
        <v>0</v>
      </c>
      <c r="H2909" s="4" t="s">
        <v>11</v>
      </c>
      <c r="I2909" s="5">
        <v>0</v>
      </c>
      <c r="J2909" s="4">
        <v>45916.294768518521</v>
      </c>
    </row>
    <row r="2910" spans="1:10" x14ac:dyDescent="0.2">
      <c r="A2910" s="2" t="s">
        <v>10</v>
      </c>
      <c r="B2910" s="3" t="str">
        <f t="shared" si="55"/>
        <v>France - HCP Survey Email - June 2025</v>
      </c>
      <c r="C2910" s="3" t="str">
        <f>HYPERLINK("https://otsuka-europe-crm.veevavault.com/ui/#object/sent_email__v/VBLZ025E82GNPF1", "SE-000274608")</f>
        <v>SE-000274608</v>
      </c>
      <c r="D2910" s="4" t="s">
        <v>11</v>
      </c>
      <c r="E2910" s="5">
        <v>0</v>
      </c>
      <c r="F2910" s="5">
        <v>0</v>
      </c>
      <c r="G2910" s="5">
        <v>0</v>
      </c>
      <c r="H2910" s="4" t="s">
        <v>11</v>
      </c>
      <c r="I2910" s="5">
        <v>0</v>
      </c>
      <c r="J2910" s="4">
        <v>45916.294918981483</v>
      </c>
    </row>
    <row r="2911" spans="1:10" x14ac:dyDescent="0.2">
      <c r="A2911" s="2" t="s">
        <v>10</v>
      </c>
      <c r="B2911" s="3" t="str">
        <f t="shared" si="55"/>
        <v>France - HCP Survey Email - June 2025</v>
      </c>
      <c r="C2911" s="3" t="str">
        <f>HYPERLINK("https://otsuka-europe-crm.veevavault.com/ui/#object/sent_email__v/VBLZ025E82GNPF2", "SE-000274609")</f>
        <v>SE-000274609</v>
      </c>
      <c r="D2911" s="4" t="s">
        <v>11</v>
      </c>
      <c r="E2911" s="5">
        <v>0</v>
      </c>
      <c r="F2911" s="5">
        <v>0</v>
      </c>
      <c r="G2911" s="5">
        <v>0</v>
      </c>
      <c r="H2911" s="4" t="s">
        <v>11</v>
      </c>
      <c r="I2911" s="5">
        <v>0</v>
      </c>
      <c r="J2911" s="4">
        <v>45916.294363425928</v>
      </c>
    </row>
    <row r="2912" spans="1:10" x14ac:dyDescent="0.2">
      <c r="A2912" s="2" t="s">
        <v>10</v>
      </c>
      <c r="B2912" s="3" t="str">
        <f t="shared" si="55"/>
        <v>France - HCP Survey Email - June 2025</v>
      </c>
      <c r="C2912" s="3" t="str">
        <f>HYPERLINK("https://otsuka-europe-crm.veevavault.com/ui/#object/sent_email__v/VBLZ025E82GNPF3", "SE-000274610")</f>
        <v>SE-000274610</v>
      </c>
      <c r="D2912" s="4" t="s">
        <v>11</v>
      </c>
      <c r="E2912" s="5">
        <v>0</v>
      </c>
      <c r="F2912" s="5">
        <v>0</v>
      </c>
      <c r="G2912" s="5">
        <v>0</v>
      </c>
      <c r="H2912" s="4" t="s">
        <v>11</v>
      </c>
      <c r="I2912" s="5">
        <v>0</v>
      </c>
      <c r="J2912" s="4">
        <v>45916.294629629629</v>
      </c>
    </row>
    <row r="2913" spans="1:10" x14ac:dyDescent="0.2">
      <c r="A2913" s="2" t="s">
        <v>10</v>
      </c>
      <c r="B2913" s="3" t="str">
        <f t="shared" si="55"/>
        <v>France - HCP Survey Email - June 2025</v>
      </c>
      <c r="C2913" s="3" t="str">
        <f>HYPERLINK("https://otsuka-europe-crm.veevavault.com/ui/#object/sent_email__v/VBLZ025E82GNPF4", "SE-000274611")</f>
        <v>SE-000274611</v>
      </c>
      <c r="D2913" s="4" t="s">
        <v>11</v>
      </c>
      <c r="E2913" s="5">
        <v>0</v>
      </c>
      <c r="F2913" s="5">
        <v>0</v>
      </c>
      <c r="G2913" s="5">
        <v>0</v>
      </c>
      <c r="H2913" s="4" t="s">
        <v>11</v>
      </c>
      <c r="I2913" s="5">
        <v>0</v>
      </c>
      <c r="J2913" s="4">
        <v>45916.29483796296</v>
      </c>
    </row>
    <row r="2914" spans="1:10" x14ac:dyDescent="0.2">
      <c r="A2914" s="2" t="s">
        <v>10</v>
      </c>
      <c r="B2914" s="3" t="str">
        <f t="shared" si="55"/>
        <v>France - HCP Survey Email - June 2025</v>
      </c>
      <c r="C2914" s="3" t="str">
        <f>HYPERLINK("https://otsuka-europe-crm.veevavault.com/ui/#object/sent_email__v/VBLZ025E82GNPF6", "SE-000274613")</f>
        <v>SE-000274613</v>
      </c>
      <c r="D2914" s="4" t="s">
        <v>11</v>
      </c>
      <c r="E2914" s="5">
        <v>0</v>
      </c>
      <c r="F2914" s="5">
        <v>0</v>
      </c>
      <c r="G2914" s="5">
        <v>0</v>
      </c>
      <c r="H2914" s="4" t="s">
        <v>11</v>
      </c>
      <c r="I2914" s="5">
        <v>0</v>
      </c>
      <c r="J2914" s="4">
        <v>45916.294409722221</v>
      </c>
    </row>
    <row r="2915" spans="1:10" x14ac:dyDescent="0.2">
      <c r="A2915" s="2" t="s">
        <v>10</v>
      </c>
      <c r="B2915" s="3" t="str">
        <f t="shared" si="55"/>
        <v>France - HCP Survey Email - June 2025</v>
      </c>
      <c r="C2915" s="3" t="str">
        <f>HYPERLINK("https://otsuka-europe-crm.veevavault.com/ui/#object/sent_email__v/VBLZ025E82GNPF7", "SE-000274614")</f>
        <v>SE-000274614</v>
      </c>
      <c r="D2915" s="4">
        <v>45916.465289351851</v>
      </c>
      <c r="E2915" s="5">
        <v>1</v>
      </c>
      <c r="F2915" s="5">
        <v>1</v>
      </c>
      <c r="G2915" s="5">
        <v>0</v>
      </c>
      <c r="H2915" s="4" t="s">
        <v>11</v>
      </c>
      <c r="I2915" s="5">
        <v>0</v>
      </c>
      <c r="J2915" s="4">
        <v>45916.294583333336</v>
      </c>
    </row>
    <row r="2916" spans="1:10" x14ac:dyDescent="0.2">
      <c r="A2916" s="2" t="s">
        <v>10</v>
      </c>
      <c r="B2916" s="3" t="str">
        <f t="shared" si="55"/>
        <v>France - HCP Survey Email - June 2025</v>
      </c>
      <c r="C2916" s="3" t="str">
        <f>HYPERLINK("https://otsuka-europe-crm.veevavault.com/ui/#object/sent_email__v/VBLZ025E82GNPF8", "SE-000274615")</f>
        <v>SE-000274615</v>
      </c>
      <c r="D2916" s="4">
        <v>45918.537719907406</v>
      </c>
      <c r="E2916" s="5">
        <v>1</v>
      </c>
      <c r="F2916" s="5">
        <v>2</v>
      </c>
      <c r="G2916" s="5">
        <v>0</v>
      </c>
      <c r="H2916" s="4" t="s">
        <v>11</v>
      </c>
      <c r="I2916" s="5">
        <v>0</v>
      </c>
      <c r="J2916" s="4">
        <v>45916.294953703706</v>
      </c>
    </row>
    <row r="2917" spans="1:10" x14ac:dyDescent="0.2">
      <c r="A2917" s="2" t="s">
        <v>10</v>
      </c>
      <c r="B2917" s="3" t="str">
        <f t="shared" si="55"/>
        <v>France - HCP Survey Email - June 2025</v>
      </c>
      <c r="C2917" s="3" t="str">
        <f>HYPERLINK("https://otsuka-europe-crm.veevavault.com/ui/#object/sent_email__v/VBLZ025E82GNPF9", "SE-000274616")</f>
        <v>SE-000274616</v>
      </c>
      <c r="D2917" s="4" t="s">
        <v>11</v>
      </c>
      <c r="E2917" s="5">
        <v>0</v>
      </c>
      <c r="F2917" s="5">
        <v>0</v>
      </c>
      <c r="G2917" s="5">
        <v>0</v>
      </c>
      <c r="H2917" s="4" t="s">
        <v>11</v>
      </c>
      <c r="I2917" s="5">
        <v>0</v>
      </c>
      <c r="J2917" s="4">
        <v>45916.294270833336</v>
      </c>
    </row>
    <row r="2918" spans="1:10" x14ac:dyDescent="0.2">
      <c r="A2918" s="2" t="s">
        <v>10</v>
      </c>
      <c r="B2918" s="3" t="str">
        <f t="shared" si="55"/>
        <v>France - HCP Survey Email - June 2025</v>
      </c>
      <c r="C2918" s="3" t="str">
        <f>HYPERLINK("https://otsuka-europe-crm.veevavault.com/ui/#object/sent_email__v/VBLZ025E82GNPFA", "SE-000274617")</f>
        <v>SE-000274617</v>
      </c>
      <c r="D2918" s="4" t="s">
        <v>11</v>
      </c>
      <c r="E2918" s="5">
        <v>0</v>
      </c>
      <c r="F2918" s="5">
        <v>0</v>
      </c>
      <c r="G2918" s="5">
        <v>0</v>
      </c>
      <c r="H2918" s="4" t="s">
        <v>11</v>
      </c>
      <c r="I2918" s="5">
        <v>0</v>
      </c>
      <c r="J2918" s="4">
        <v>45916.294409722221</v>
      </c>
    </row>
    <row r="2919" spans="1:10" x14ac:dyDescent="0.2">
      <c r="A2919" s="2" t="s">
        <v>10</v>
      </c>
      <c r="B2919" s="3" t="str">
        <f t="shared" si="55"/>
        <v>France - HCP Survey Email - June 2025</v>
      </c>
      <c r="C2919" s="3" t="str">
        <f>HYPERLINK("https://otsuka-europe-crm.veevavault.com/ui/#object/sent_email__v/VBLZ025E82GNPFC", "SE-000274619")</f>
        <v>SE-000274619</v>
      </c>
      <c r="D2919" s="4" t="s">
        <v>11</v>
      </c>
      <c r="E2919" s="5">
        <v>0</v>
      </c>
      <c r="F2919" s="5">
        <v>0</v>
      </c>
      <c r="G2919" s="5">
        <v>0</v>
      </c>
      <c r="H2919" s="4" t="s">
        <v>11</v>
      </c>
      <c r="I2919" s="5">
        <v>0</v>
      </c>
      <c r="J2919" s="4">
        <v>45916.294918981483</v>
      </c>
    </row>
    <row r="2920" spans="1:10" x14ac:dyDescent="0.2">
      <c r="A2920" s="2" t="s">
        <v>10</v>
      </c>
      <c r="B2920" s="3" t="str">
        <f t="shared" si="55"/>
        <v>France - HCP Survey Email - June 2025</v>
      </c>
      <c r="C2920" s="3" t="str">
        <f>HYPERLINK("https://otsuka-europe-crm.veevavault.com/ui/#object/sent_email__v/VBLZ025E82GNPFD", "SE-000274620")</f>
        <v>SE-000274620</v>
      </c>
      <c r="D2920" s="4">
        <v>45917.838055555556</v>
      </c>
      <c r="E2920" s="5">
        <v>1</v>
      </c>
      <c r="F2920" s="5">
        <v>1</v>
      </c>
      <c r="G2920" s="5">
        <v>0</v>
      </c>
      <c r="H2920" s="4" t="s">
        <v>11</v>
      </c>
      <c r="I2920" s="5">
        <v>0</v>
      </c>
      <c r="J2920" s="4">
        <v>45916.294270833336</v>
      </c>
    </row>
    <row r="2921" spans="1:10" x14ac:dyDescent="0.2">
      <c r="A2921" s="2" t="s">
        <v>10</v>
      </c>
      <c r="B2921" s="3" t="str">
        <f t="shared" si="55"/>
        <v>France - HCP Survey Email - June 2025</v>
      </c>
      <c r="C2921" s="3" t="str">
        <f>HYPERLINK("https://otsuka-europe-crm.veevavault.com/ui/#object/sent_email__v/VBLZ025E82GNPFE", "SE-000274621")</f>
        <v>SE-000274621</v>
      </c>
      <c r="D2921" s="4" t="s">
        <v>11</v>
      </c>
      <c r="E2921" s="5">
        <v>0</v>
      </c>
      <c r="F2921" s="5">
        <v>0</v>
      </c>
      <c r="G2921" s="5">
        <v>0</v>
      </c>
      <c r="H2921" s="4" t="s">
        <v>11</v>
      </c>
      <c r="I2921" s="5">
        <v>0</v>
      </c>
      <c r="J2921" s="4">
        <v>45916.29451388889</v>
      </c>
    </row>
    <row r="2922" spans="1:10" x14ac:dyDescent="0.2">
      <c r="A2922" s="2" t="s">
        <v>10</v>
      </c>
      <c r="B2922" s="3" t="str">
        <f t="shared" si="55"/>
        <v>France - HCP Survey Email - June 2025</v>
      </c>
      <c r="C2922" s="3" t="str">
        <f>HYPERLINK("https://otsuka-europe-crm.veevavault.com/ui/#object/sent_email__v/VBLZ025E82GNPFF", "SE-000274622")</f>
        <v>SE-000274622</v>
      </c>
      <c r="D2922" s="4" t="s">
        <v>11</v>
      </c>
      <c r="E2922" s="5">
        <v>0</v>
      </c>
      <c r="F2922" s="5">
        <v>0</v>
      </c>
      <c r="G2922" s="5">
        <v>0</v>
      </c>
      <c r="H2922" s="4" t="s">
        <v>11</v>
      </c>
      <c r="I2922" s="5">
        <v>0</v>
      </c>
      <c r="J2922" s="4">
        <v>45916.294768518521</v>
      </c>
    </row>
    <row r="2923" spans="1:10" x14ac:dyDescent="0.2">
      <c r="A2923" s="2" t="s">
        <v>10</v>
      </c>
      <c r="B2923" s="3" t="str">
        <f t="shared" si="55"/>
        <v>France - HCP Survey Email - June 2025</v>
      </c>
      <c r="C2923" s="3" t="str">
        <f>HYPERLINK("https://otsuka-europe-crm.veevavault.com/ui/#object/sent_email__v/VBLZ025E82GNPFG", "SE-000274623")</f>
        <v>SE-000274623</v>
      </c>
      <c r="D2923" s="4">
        <v>45916.413171296299</v>
      </c>
      <c r="E2923" s="5">
        <v>1</v>
      </c>
      <c r="F2923" s="5">
        <v>1</v>
      </c>
      <c r="G2923" s="5">
        <v>0</v>
      </c>
      <c r="H2923" s="4" t="s">
        <v>11</v>
      </c>
      <c r="I2923" s="5">
        <v>0</v>
      </c>
      <c r="J2923" s="4">
        <v>45916.294942129629</v>
      </c>
    </row>
    <row r="2924" spans="1:10" x14ac:dyDescent="0.2">
      <c r="A2924" s="2" t="s">
        <v>10</v>
      </c>
      <c r="B2924" s="3" t="str">
        <f t="shared" si="55"/>
        <v>France - HCP Survey Email - June 2025</v>
      </c>
      <c r="C2924" s="3" t="str">
        <f>HYPERLINK("https://otsuka-europe-crm.veevavault.com/ui/#object/sent_email__v/VBLZ025E82GNPFH", "SE-000274624")</f>
        <v>SE-000274624</v>
      </c>
      <c r="D2924" s="4" t="s">
        <v>11</v>
      </c>
      <c r="E2924" s="5">
        <v>0</v>
      </c>
      <c r="F2924" s="5">
        <v>0</v>
      </c>
      <c r="G2924" s="5">
        <v>0</v>
      </c>
      <c r="H2924" s="4" t="s">
        <v>11</v>
      </c>
      <c r="I2924" s="5">
        <v>0</v>
      </c>
      <c r="J2924" s="4">
        <v>45916.294398148151</v>
      </c>
    </row>
    <row r="2925" spans="1:10" x14ac:dyDescent="0.2">
      <c r="A2925" s="2" t="s">
        <v>10</v>
      </c>
      <c r="B2925" s="3" t="str">
        <f t="shared" si="55"/>
        <v>France - HCP Survey Email - June 2025</v>
      </c>
      <c r="C2925" s="3" t="str">
        <f>HYPERLINK("https://otsuka-europe-crm.veevavault.com/ui/#object/sent_email__v/VBLZ025E82GNPFI", "SE-000274625")</f>
        <v>SE-000274625</v>
      </c>
      <c r="D2925" s="4" t="s">
        <v>11</v>
      </c>
      <c r="E2925" s="5">
        <v>0</v>
      </c>
      <c r="F2925" s="5">
        <v>0</v>
      </c>
      <c r="G2925" s="5">
        <v>0</v>
      </c>
      <c r="H2925" s="4" t="s">
        <v>11</v>
      </c>
      <c r="I2925" s="5">
        <v>0</v>
      </c>
      <c r="J2925" s="4">
        <v>45916.294664351852</v>
      </c>
    </row>
    <row r="2926" spans="1:10" x14ac:dyDescent="0.2">
      <c r="A2926" s="2" t="s">
        <v>10</v>
      </c>
      <c r="B2926" s="3" t="str">
        <f t="shared" si="55"/>
        <v>France - HCP Survey Email - June 2025</v>
      </c>
      <c r="C2926" s="3" t="str">
        <f>HYPERLINK("https://otsuka-europe-crm.veevavault.com/ui/#object/sent_email__v/VBLZ025E82GNPFJ", "SE-000274626")</f>
        <v>SE-000274626</v>
      </c>
      <c r="D2926" s="4">
        <v>45916.294895833336</v>
      </c>
      <c r="E2926" s="5">
        <v>1</v>
      </c>
      <c r="F2926" s="5">
        <v>1</v>
      </c>
      <c r="G2926" s="5">
        <v>1</v>
      </c>
      <c r="H2926" s="4">
        <v>45916.294895833336</v>
      </c>
      <c r="I2926" s="5">
        <v>1</v>
      </c>
      <c r="J2926" s="4">
        <v>45916.294803240744</v>
      </c>
    </row>
    <row r="2927" spans="1:10" x14ac:dyDescent="0.2">
      <c r="A2927" s="2" t="s">
        <v>10</v>
      </c>
      <c r="B2927" s="3" t="str">
        <f t="shared" si="55"/>
        <v>France - HCP Survey Email - June 2025</v>
      </c>
      <c r="C2927" s="3" t="str">
        <f>HYPERLINK("https://otsuka-europe-crm.veevavault.com/ui/#object/sent_email__v/VBLZ025E82GNPFK", "SE-000274627")</f>
        <v>SE-000274627</v>
      </c>
      <c r="D2927" s="4">
        <v>45916.294386574074</v>
      </c>
      <c r="E2927" s="5">
        <v>1</v>
      </c>
      <c r="F2927" s="5">
        <v>2</v>
      </c>
      <c r="G2927" s="5">
        <v>1</v>
      </c>
      <c r="H2927" s="4">
        <v>45916.294386574074</v>
      </c>
      <c r="I2927" s="5">
        <v>2</v>
      </c>
      <c r="J2927" s="4">
        <v>45916.294293981482</v>
      </c>
    </row>
    <row r="2928" spans="1:10" x14ac:dyDescent="0.2">
      <c r="A2928" s="2" t="s">
        <v>10</v>
      </c>
      <c r="B2928" s="3" t="str">
        <f t="shared" si="55"/>
        <v>France - HCP Survey Email - June 2025</v>
      </c>
      <c r="C2928" s="3" t="str">
        <f>HYPERLINK("https://otsuka-europe-crm.veevavault.com/ui/#object/sent_email__v/VBLZ025E82GNPFL", "SE-000274628")</f>
        <v>SE-000274628</v>
      </c>
      <c r="D2928" s="4">
        <v>45916.332453703704</v>
      </c>
      <c r="E2928" s="5">
        <v>1</v>
      </c>
      <c r="F2928" s="5">
        <v>1</v>
      </c>
      <c r="G2928" s="5">
        <v>0</v>
      </c>
      <c r="H2928" s="4" t="s">
        <v>11</v>
      </c>
      <c r="I2928" s="5">
        <v>0</v>
      </c>
      <c r="J2928" s="4">
        <v>45916.294398148151</v>
      </c>
    </row>
    <row r="2929" spans="1:10" x14ac:dyDescent="0.2">
      <c r="A2929" s="2" t="s">
        <v>10</v>
      </c>
      <c r="B2929" s="3" t="str">
        <f t="shared" si="55"/>
        <v>France - HCP Survey Email - June 2025</v>
      </c>
      <c r="C2929" s="3" t="str">
        <f>HYPERLINK("https://otsuka-europe-crm.veevavault.com/ui/#object/sent_email__v/VBLZ025E82GNPFM", "SE-000274629")</f>
        <v>SE-000274629</v>
      </c>
      <c r="D2929" s="4" t="s">
        <v>11</v>
      </c>
      <c r="E2929" s="5">
        <v>0</v>
      </c>
      <c r="F2929" s="5">
        <v>0</v>
      </c>
      <c r="G2929" s="5">
        <v>0</v>
      </c>
      <c r="H2929" s="4" t="s">
        <v>11</v>
      </c>
      <c r="I2929" s="5">
        <v>0</v>
      </c>
      <c r="J2929" s="4">
        <v>45916.294606481482</v>
      </c>
    </row>
    <row r="2930" spans="1:10" x14ac:dyDescent="0.2">
      <c r="A2930" s="2" t="s">
        <v>10</v>
      </c>
      <c r="B2930" s="3" t="str">
        <f t="shared" si="55"/>
        <v>France - HCP Survey Email - June 2025</v>
      </c>
      <c r="C2930" s="3" t="str">
        <f>HYPERLINK("https://otsuka-europe-crm.veevavault.com/ui/#object/sent_email__v/VBLZ025E82GNPFN", "SE-000274630")</f>
        <v>SE-000274630</v>
      </c>
      <c r="D2930" s="4" t="s">
        <v>11</v>
      </c>
      <c r="E2930" s="5">
        <v>0</v>
      </c>
      <c r="F2930" s="5">
        <v>0</v>
      </c>
      <c r="G2930" s="5">
        <v>0</v>
      </c>
      <c r="H2930" s="4" t="s">
        <v>11</v>
      </c>
      <c r="I2930" s="5">
        <v>0</v>
      </c>
      <c r="J2930" s="4">
        <v>45916.295046296298</v>
      </c>
    </row>
    <row r="2931" spans="1:10" x14ac:dyDescent="0.2">
      <c r="A2931" s="2" t="s">
        <v>10</v>
      </c>
      <c r="B2931" s="3" t="str">
        <f t="shared" si="55"/>
        <v>France - HCP Survey Email - June 2025</v>
      </c>
      <c r="C2931" s="3" t="str">
        <f>HYPERLINK("https://otsuka-europe-crm.veevavault.com/ui/#object/sent_email__v/VBLZ025E82GNPFO", "SE-000274631")</f>
        <v>SE-000274631</v>
      </c>
      <c r="D2931" s="4">
        <v>45916.32371527778</v>
      </c>
      <c r="E2931" s="5">
        <v>1</v>
      </c>
      <c r="F2931" s="5">
        <v>3</v>
      </c>
      <c r="G2931" s="5">
        <v>0</v>
      </c>
      <c r="H2931" s="4" t="s">
        <v>11</v>
      </c>
      <c r="I2931" s="5">
        <v>0</v>
      </c>
      <c r="J2931" s="4">
        <v>45916.294270833336</v>
      </c>
    </row>
    <row r="2932" spans="1:10" x14ac:dyDescent="0.2">
      <c r="A2932" s="2" t="s">
        <v>10</v>
      </c>
      <c r="B2932" s="3" t="str">
        <f t="shared" si="55"/>
        <v>France - HCP Survey Email - June 2025</v>
      </c>
      <c r="C2932" s="3" t="str">
        <f>HYPERLINK("https://otsuka-europe-crm.veevavault.com/ui/#object/sent_email__v/VBLZ025E82GNPFP", "SE-000274632")</f>
        <v>SE-000274632</v>
      </c>
      <c r="D2932" s="4" t="s">
        <v>11</v>
      </c>
      <c r="E2932" s="5">
        <v>0</v>
      </c>
      <c r="F2932" s="5">
        <v>0</v>
      </c>
      <c r="G2932" s="5">
        <v>0</v>
      </c>
      <c r="H2932" s="4" t="s">
        <v>11</v>
      </c>
      <c r="I2932" s="5">
        <v>0</v>
      </c>
      <c r="J2932" s="4">
        <v>45916.294606481482</v>
      </c>
    </row>
    <row r="2933" spans="1:10" x14ac:dyDescent="0.2">
      <c r="A2933" s="2" t="s">
        <v>10</v>
      </c>
      <c r="B2933" s="3" t="str">
        <f t="shared" si="55"/>
        <v>France - HCP Survey Email - June 2025</v>
      </c>
      <c r="C2933" s="3" t="str">
        <f>HYPERLINK("https://otsuka-europe-crm.veevavault.com/ui/#object/sent_email__v/VBLZ025E82GNPFQ", "SE-000274633")</f>
        <v>SE-000274633</v>
      </c>
      <c r="D2933" s="4" t="s">
        <v>11</v>
      </c>
      <c r="E2933" s="5">
        <v>0</v>
      </c>
      <c r="F2933" s="5">
        <v>0</v>
      </c>
      <c r="G2933" s="5">
        <v>0</v>
      </c>
      <c r="H2933" s="4" t="s">
        <v>11</v>
      </c>
      <c r="I2933" s="5">
        <v>0</v>
      </c>
      <c r="J2933" s="4">
        <v>45916.294814814813</v>
      </c>
    </row>
    <row r="2934" spans="1:10" x14ac:dyDescent="0.2">
      <c r="A2934" s="2" t="s">
        <v>10</v>
      </c>
      <c r="B2934" s="3" t="str">
        <f t="shared" si="55"/>
        <v>France - HCP Survey Email - June 2025</v>
      </c>
      <c r="C2934" s="3" t="str">
        <f>HYPERLINK("https://otsuka-europe-crm.veevavault.com/ui/#object/sent_email__v/VBLZ025E82GNPFR", "SE-000274634")</f>
        <v>SE-000274634</v>
      </c>
      <c r="D2934" s="4" t="s">
        <v>11</v>
      </c>
      <c r="E2934" s="5">
        <v>0</v>
      </c>
      <c r="F2934" s="5">
        <v>0</v>
      </c>
      <c r="G2934" s="5">
        <v>0</v>
      </c>
      <c r="H2934" s="4" t="s">
        <v>11</v>
      </c>
      <c r="I2934" s="5">
        <v>0</v>
      </c>
      <c r="J2934" s="4">
        <v>45916.294953703706</v>
      </c>
    </row>
    <row r="2935" spans="1:10" x14ac:dyDescent="0.2">
      <c r="A2935" s="2" t="s">
        <v>10</v>
      </c>
      <c r="B2935" s="3" t="str">
        <f t="shared" si="55"/>
        <v>France - HCP Survey Email - June 2025</v>
      </c>
      <c r="C2935" s="3" t="str">
        <f>HYPERLINK("https://otsuka-europe-crm.veevavault.com/ui/#object/sent_email__v/VBLZ025E82GNPFS", "SE-000274635")</f>
        <v>SE-000274635</v>
      </c>
      <c r="D2935" s="4" t="s">
        <v>11</v>
      </c>
      <c r="E2935" s="5">
        <v>0</v>
      </c>
      <c r="F2935" s="5">
        <v>0</v>
      </c>
      <c r="G2935" s="5">
        <v>0</v>
      </c>
      <c r="H2935" s="4" t="s">
        <v>11</v>
      </c>
      <c r="I2935" s="5">
        <v>0</v>
      </c>
      <c r="J2935" s="4">
        <v>45916.294386574074</v>
      </c>
    </row>
    <row r="2936" spans="1:10" x14ac:dyDescent="0.2">
      <c r="A2936" s="2" t="s">
        <v>10</v>
      </c>
      <c r="B2936" s="3" t="str">
        <f t="shared" si="55"/>
        <v>France - HCP Survey Email - June 2025</v>
      </c>
      <c r="C2936" s="3" t="str">
        <f>HYPERLINK("https://otsuka-europe-crm.veevavault.com/ui/#object/sent_email__v/VBLZ025E82GNPFT", "SE-000274636")</f>
        <v>SE-000274636</v>
      </c>
      <c r="D2936" s="4" t="s">
        <v>11</v>
      </c>
      <c r="E2936" s="5">
        <v>0</v>
      </c>
      <c r="F2936" s="5">
        <v>0</v>
      </c>
      <c r="G2936" s="5">
        <v>0</v>
      </c>
      <c r="H2936" s="4" t="s">
        <v>11</v>
      </c>
      <c r="I2936" s="5">
        <v>0</v>
      </c>
      <c r="J2936" s="4">
        <v>45916.294560185182</v>
      </c>
    </row>
    <row r="2937" spans="1:10" x14ac:dyDescent="0.2">
      <c r="A2937" s="2" t="s">
        <v>10</v>
      </c>
      <c r="B2937" s="3" t="str">
        <f t="shared" si="55"/>
        <v>France - HCP Survey Email - June 2025</v>
      </c>
      <c r="C2937" s="3" t="str">
        <f>HYPERLINK("https://otsuka-europe-crm.veevavault.com/ui/#object/sent_email__v/VBLZ025E82GNPFU", "SE-000274637")</f>
        <v>SE-000274637</v>
      </c>
      <c r="D2937" s="4" t="s">
        <v>11</v>
      </c>
      <c r="E2937" s="5">
        <v>0</v>
      </c>
      <c r="F2937" s="5">
        <v>0</v>
      </c>
      <c r="G2937" s="5">
        <v>0</v>
      </c>
      <c r="H2937" s="4" t="s">
        <v>11</v>
      </c>
      <c r="I2937" s="5">
        <v>0</v>
      </c>
      <c r="J2937" s="4">
        <v>45916.29482638889</v>
      </c>
    </row>
    <row r="2938" spans="1:10" x14ac:dyDescent="0.2">
      <c r="A2938" s="2" t="s">
        <v>10</v>
      </c>
      <c r="B2938" s="3" t="str">
        <f t="shared" si="55"/>
        <v>France - HCP Survey Email - June 2025</v>
      </c>
      <c r="C2938" s="3" t="str">
        <f>HYPERLINK("https://otsuka-europe-crm.veevavault.com/ui/#object/sent_email__v/VBLZ025E82GNPFV", "SE-000274638")</f>
        <v>SE-000274638</v>
      </c>
      <c r="D2938" s="4" t="s">
        <v>11</v>
      </c>
      <c r="E2938" s="5">
        <v>0</v>
      </c>
      <c r="F2938" s="5">
        <v>0</v>
      </c>
      <c r="G2938" s="5">
        <v>0</v>
      </c>
      <c r="H2938" s="4" t="s">
        <v>11</v>
      </c>
      <c r="I2938" s="5">
        <v>0</v>
      </c>
      <c r="J2938" s="4">
        <v>45916.294305555559</v>
      </c>
    </row>
    <row r="2939" spans="1:10" x14ac:dyDescent="0.2">
      <c r="A2939" s="2" t="s">
        <v>10</v>
      </c>
      <c r="B2939" s="3" t="str">
        <f t="shared" si="55"/>
        <v>France - HCP Survey Email - June 2025</v>
      </c>
      <c r="C2939" s="3" t="str">
        <f>HYPERLINK("https://otsuka-europe-crm.veevavault.com/ui/#object/sent_email__v/VBLZ025E82GNPFW", "SE-000274639")</f>
        <v>SE-000274639</v>
      </c>
      <c r="D2939" s="4" t="s">
        <v>11</v>
      </c>
      <c r="E2939" s="5">
        <v>0</v>
      </c>
      <c r="F2939" s="5">
        <v>0</v>
      </c>
      <c r="G2939" s="5">
        <v>0</v>
      </c>
      <c r="H2939" s="4" t="s">
        <v>11</v>
      </c>
      <c r="I2939" s="5">
        <v>0</v>
      </c>
      <c r="J2939" s="4">
        <v>45916.295023148145</v>
      </c>
    </row>
    <row r="2940" spans="1:10" x14ac:dyDescent="0.2">
      <c r="A2940" s="2" t="s">
        <v>10</v>
      </c>
      <c r="B2940" s="3" t="str">
        <f t="shared" si="55"/>
        <v>France - HCP Survey Email - June 2025</v>
      </c>
      <c r="C2940" s="3" t="str">
        <f>HYPERLINK("https://otsuka-europe-crm.veevavault.com/ui/#object/sent_email__v/VBLZ025E82GNPFX", "SE-000274640")</f>
        <v>SE-000274640</v>
      </c>
      <c r="D2940" s="4" t="s">
        <v>11</v>
      </c>
      <c r="E2940" s="5">
        <v>0</v>
      </c>
      <c r="F2940" s="5">
        <v>0</v>
      </c>
      <c r="G2940" s="5">
        <v>0</v>
      </c>
      <c r="H2940" s="4" t="s">
        <v>11</v>
      </c>
      <c r="I2940" s="5">
        <v>0</v>
      </c>
      <c r="J2940" s="4">
        <v>45916.294374999998</v>
      </c>
    </row>
    <row r="2941" spans="1:10" x14ac:dyDescent="0.2">
      <c r="A2941" s="2" t="s">
        <v>10</v>
      </c>
      <c r="B2941" s="3" t="str">
        <f t="shared" si="55"/>
        <v>France - HCP Survey Email - June 2025</v>
      </c>
      <c r="C2941" s="3" t="str">
        <f>HYPERLINK("https://otsuka-europe-crm.veevavault.com/ui/#object/sent_email__v/VBLZ025E82GNPFY", "SE-000274641")</f>
        <v>SE-000274641</v>
      </c>
      <c r="D2941" s="4" t="s">
        <v>11</v>
      </c>
      <c r="E2941" s="5">
        <v>0</v>
      </c>
      <c r="F2941" s="5">
        <v>0</v>
      </c>
      <c r="G2941" s="5">
        <v>0</v>
      </c>
      <c r="H2941" s="4" t="s">
        <v>11</v>
      </c>
      <c r="I2941" s="5">
        <v>0</v>
      </c>
      <c r="J2941" s="4">
        <v>45916.294594907406</v>
      </c>
    </row>
    <row r="2942" spans="1:10" x14ac:dyDescent="0.2">
      <c r="A2942" s="2" t="s">
        <v>10</v>
      </c>
      <c r="B2942" s="3" t="str">
        <f t="shared" si="55"/>
        <v>France - HCP Survey Email - June 2025</v>
      </c>
      <c r="C2942" s="3" t="str">
        <f>HYPERLINK("https://otsuka-europe-crm.veevavault.com/ui/#object/sent_email__v/VBLZ025E82GNPFZ", "SE-000274642")</f>
        <v>SE-000274642</v>
      </c>
      <c r="D2942" s="4" t="s">
        <v>11</v>
      </c>
      <c r="E2942" s="5">
        <v>0</v>
      </c>
      <c r="F2942" s="5">
        <v>0</v>
      </c>
      <c r="G2942" s="5">
        <v>0</v>
      </c>
      <c r="H2942" s="4" t="s">
        <v>11</v>
      </c>
      <c r="I2942" s="5">
        <v>0</v>
      </c>
      <c r="J2942" s="4">
        <v>45916.294918981483</v>
      </c>
    </row>
    <row r="2943" spans="1:10" x14ac:dyDescent="0.2">
      <c r="A2943" s="2" t="s">
        <v>10</v>
      </c>
      <c r="B2943" s="3" t="str">
        <f t="shared" si="55"/>
        <v>France - HCP Survey Email - June 2025</v>
      </c>
      <c r="C2943" s="3" t="str">
        <f>HYPERLINK("https://otsuka-europe-crm.veevavault.com/ui/#object/sent_email__v/VBLZ025E82GNPG0", "SE-000274643")</f>
        <v>SE-000274643</v>
      </c>
      <c r="D2943" s="4" t="s">
        <v>11</v>
      </c>
      <c r="E2943" s="5">
        <v>0</v>
      </c>
      <c r="F2943" s="5">
        <v>0</v>
      </c>
      <c r="G2943" s="5">
        <v>0</v>
      </c>
      <c r="H2943" s="4" t="s">
        <v>11</v>
      </c>
      <c r="I2943" s="5">
        <v>0</v>
      </c>
      <c r="J2943" s="4">
        <v>45916.294270833336</v>
      </c>
    </row>
    <row r="2944" spans="1:10" x14ac:dyDescent="0.2">
      <c r="A2944" s="2" t="s">
        <v>10</v>
      </c>
      <c r="B2944" s="3" t="str">
        <f t="shared" si="55"/>
        <v>France - HCP Survey Email - June 2025</v>
      </c>
      <c r="C2944" s="3" t="str">
        <f>HYPERLINK("https://otsuka-europe-crm.veevavault.com/ui/#object/sent_email__v/VBLZ025E82GNPG1", "SE-000274644")</f>
        <v>SE-000274644</v>
      </c>
      <c r="D2944" s="4" t="s">
        <v>11</v>
      </c>
      <c r="E2944" s="5">
        <v>0</v>
      </c>
      <c r="F2944" s="5">
        <v>0</v>
      </c>
      <c r="G2944" s="5">
        <v>0</v>
      </c>
      <c r="H2944" s="4" t="s">
        <v>11</v>
      </c>
      <c r="I2944" s="5">
        <v>0</v>
      </c>
      <c r="J2944" s="4">
        <v>45916.294421296298</v>
      </c>
    </row>
    <row r="2945" spans="1:10" x14ac:dyDescent="0.2">
      <c r="A2945" s="2" t="s">
        <v>10</v>
      </c>
      <c r="B2945" s="3" t="str">
        <f t="shared" ref="B2945:B3008" si="56">HYPERLINK("https://otsuka-europe-crm.veevavault.com/ui/#object/approved_document__v/V5OZ025E82TMV97", "France - HCP Survey Email - June 2025")</f>
        <v>France - HCP Survey Email - June 2025</v>
      </c>
      <c r="C2945" s="3" t="str">
        <f>HYPERLINK("https://otsuka-europe-crm.veevavault.com/ui/#object/sent_email__v/VBLZ025E82GNPG2", "SE-000274645")</f>
        <v>SE-000274645</v>
      </c>
      <c r="D2945" s="4" t="s">
        <v>11</v>
      </c>
      <c r="E2945" s="5">
        <v>0</v>
      </c>
      <c r="F2945" s="5">
        <v>0</v>
      </c>
      <c r="G2945" s="5">
        <v>0</v>
      </c>
      <c r="H2945" s="4" t="s">
        <v>11</v>
      </c>
      <c r="I2945" s="5">
        <v>0</v>
      </c>
      <c r="J2945" s="4">
        <v>45916.294699074075</v>
      </c>
    </row>
    <row r="2946" spans="1:10" x14ac:dyDescent="0.2">
      <c r="A2946" s="2" t="s">
        <v>10</v>
      </c>
      <c r="B2946" s="3" t="str">
        <f t="shared" si="56"/>
        <v>France - HCP Survey Email - June 2025</v>
      </c>
      <c r="C2946" s="3" t="str">
        <f>HYPERLINK("https://otsuka-europe-crm.veevavault.com/ui/#object/sent_email__v/VBLZ025E82GNPG4", "SE-000274647")</f>
        <v>SE-000274647</v>
      </c>
      <c r="D2946" s="4" t="s">
        <v>11</v>
      </c>
      <c r="E2946" s="5">
        <v>0</v>
      </c>
      <c r="F2946" s="5">
        <v>0</v>
      </c>
      <c r="G2946" s="5">
        <v>0</v>
      </c>
      <c r="H2946" s="4" t="s">
        <v>11</v>
      </c>
      <c r="I2946" s="5">
        <v>0</v>
      </c>
      <c r="J2946" s="4">
        <v>45916.294247685182</v>
      </c>
    </row>
    <row r="2947" spans="1:10" x14ac:dyDescent="0.2">
      <c r="A2947" s="2" t="s">
        <v>10</v>
      </c>
      <c r="B2947" s="3" t="str">
        <f t="shared" si="56"/>
        <v>France - HCP Survey Email - June 2025</v>
      </c>
      <c r="C2947" s="3" t="str">
        <f>HYPERLINK("https://otsuka-europe-crm.veevavault.com/ui/#object/sent_email__v/VBLZ025E82GNPG6", "SE-000274649")</f>
        <v>SE-000274649</v>
      </c>
      <c r="D2947" s="4" t="s">
        <v>11</v>
      </c>
      <c r="E2947" s="5">
        <v>0</v>
      </c>
      <c r="F2947" s="5">
        <v>0</v>
      </c>
      <c r="G2947" s="5">
        <v>0</v>
      </c>
      <c r="H2947" s="4" t="s">
        <v>11</v>
      </c>
      <c r="I2947" s="5">
        <v>0</v>
      </c>
      <c r="J2947" s="4">
        <v>45916.294756944444</v>
      </c>
    </row>
    <row r="2948" spans="1:10" x14ac:dyDescent="0.2">
      <c r="A2948" s="2" t="s">
        <v>10</v>
      </c>
      <c r="B2948" s="3" t="str">
        <f t="shared" si="56"/>
        <v>France - HCP Survey Email - June 2025</v>
      </c>
      <c r="C2948" s="3" t="str">
        <f>HYPERLINK("https://otsuka-europe-crm.veevavault.com/ui/#object/sent_email__v/VBLZ025E82GNPG7", "SE-000274650")</f>
        <v>SE-000274650</v>
      </c>
      <c r="D2948" s="4" t="s">
        <v>11</v>
      </c>
      <c r="E2948" s="5">
        <v>0</v>
      </c>
      <c r="F2948" s="5">
        <v>0</v>
      </c>
      <c r="G2948" s="5">
        <v>0</v>
      </c>
      <c r="H2948" s="4" t="s">
        <v>11</v>
      </c>
      <c r="I2948" s="5">
        <v>0</v>
      </c>
      <c r="J2948" s="4">
        <v>45916.294988425929</v>
      </c>
    </row>
    <row r="2949" spans="1:10" x14ac:dyDescent="0.2">
      <c r="A2949" s="2" t="s">
        <v>10</v>
      </c>
      <c r="B2949" s="3" t="str">
        <f t="shared" si="56"/>
        <v>France - HCP Survey Email - June 2025</v>
      </c>
      <c r="C2949" s="3" t="str">
        <f>HYPERLINK("https://otsuka-europe-crm.veevavault.com/ui/#object/sent_email__v/VBLZ025E82GNPG8", "SE-000274651")</f>
        <v>SE-000274651</v>
      </c>
      <c r="D2949" s="4" t="s">
        <v>11</v>
      </c>
      <c r="E2949" s="5">
        <v>0</v>
      </c>
      <c r="F2949" s="5">
        <v>0</v>
      </c>
      <c r="G2949" s="5">
        <v>0</v>
      </c>
      <c r="H2949" s="4" t="s">
        <v>11</v>
      </c>
      <c r="I2949" s="5">
        <v>0</v>
      </c>
      <c r="J2949" s="4">
        <v>45916.294456018521</v>
      </c>
    </row>
    <row r="2950" spans="1:10" x14ac:dyDescent="0.2">
      <c r="A2950" s="2" t="s">
        <v>10</v>
      </c>
      <c r="B2950" s="3" t="str">
        <f t="shared" si="56"/>
        <v>France - HCP Survey Email - June 2025</v>
      </c>
      <c r="C2950" s="3" t="str">
        <f>HYPERLINK("https://otsuka-europe-crm.veevavault.com/ui/#object/sent_email__v/VBLZ025E82GNPG9", "SE-000274652")</f>
        <v>SE-000274652</v>
      </c>
      <c r="D2950" s="4" t="s">
        <v>11</v>
      </c>
      <c r="E2950" s="5">
        <v>0</v>
      </c>
      <c r="F2950" s="5">
        <v>0</v>
      </c>
      <c r="G2950" s="5">
        <v>0</v>
      </c>
      <c r="H2950" s="4" t="s">
        <v>11</v>
      </c>
      <c r="I2950" s="5">
        <v>0</v>
      </c>
      <c r="J2950" s="4">
        <v>45916.294548611113</v>
      </c>
    </row>
    <row r="2951" spans="1:10" x14ac:dyDescent="0.2">
      <c r="A2951" s="2" t="s">
        <v>10</v>
      </c>
      <c r="B2951" s="3" t="str">
        <f t="shared" si="56"/>
        <v>France - HCP Survey Email - June 2025</v>
      </c>
      <c r="C2951" s="3" t="str">
        <f>HYPERLINK("https://otsuka-europe-crm.veevavault.com/ui/#object/sent_email__v/VBLZ025E82GNPGA", "SE-000274653")</f>
        <v>SE-000274653</v>
      </c>
      <c r="D2951" s="4" t="s">
        <v>11</v>
      </c>
      <c r="E2951" s="5">
        <v>0</v>
      </c>
      <c r="F2951" s="5">
        <v>0</v>
      </c>
      <c r="G2951" s="5">
        <v>0</v>
      </c>
      <c r="H2951" s="4" t="s">
        <v>11</v>
      </c>
      <c r="I2951" s="5">
        <v>0</v>
      </c>
      <c r="J2951" s="4">
        <v>45916.294942129629</v>
      </c>
    </row>
    <row r="2952" spans="1:10" x14ac:dyDescent="0.2">
      <c r="A2952" s="2" t="s">
        <v>10</v>
      </c>
      <c r="B2952" s="3" t="str">
        <f t="shared" si="56"/>
        <v>France - HCP Survey Email - June 2025</v>
      </c>
      <c r="C2952" s="3" t="str">
        <f>HYPERLINK("https://otsuka-europe-crm.veevavault.com/ui/#object/sent_email__v/VBLZ025E82GNPGB", "SE-000274654")</f>
        <v>SE-000274654</v>
      </c>
      <c r="D2952" s="4" t="s">
        <v>11</v>
      </c>
      <c r="E2952" s="5">
        <v>0</v>
      </c>
      <c r="F2952" s="5">
        <v>0</v>
      </c>
      <c r="G2952" s="5">
        <v>0</v>
      </c>
      <c r="H2952" s="4" t="s">
        <v>11</v>
      </c>
      <c r="I2952" s="5">
        <v>0</v>
      </c>
      <c r="J2952" s="4">
        <v>45916.294224537036</v>
      </c>
    </row>
    <row r="2953" spans="1:10" x14ac:dyDescent="0.2">
      <c r="A2953" s="2" t="s">
        <v>10</v>
      </c>
      <c r="B2953" s="3" t="str">
        <f t="shared" si="56"/>
        <v>France - HCP Survey Email - June 2025</v>
      </c>
      <c r="C2953" s="3" t="str">
        <f>HYPERLINK("https://otsuka-europe-crm.veevavault.com/ui/#object/sent_email__v/VBLZ025E82GNPGC", "SE-000274655")</f>
        <v>SE-000274655</v>
      </c>
      <c r="D2953" s="4" t="s">
        <v>11</v>
      </c>
      <c r="E2953" s="5">
        <v>0</v>
      </c>
      <c r="F2953" s="5">
        <v>0</v>
      </c>
      <c r="G2953" s="5">
        <v>0</v>
      </c>
      <c r="H2953" s="4" t="s">
        <v>11</v>
      </c>
      <c r="I2953" s="5">
        <v>0</v>
      </c>
      <c r="J2953" s="4">
        <v>45916.294386574074</v>
      </c>
    </row>
    <row r="2954" spans="1:10" x14ac:dyDescent="0.2">
      <c r="A2954" s="2" t="s">
        <v>10</v>
      </c>
      <c r="B2954" s="3" t="str">
        <f t="shared" si="56"/>
        <v>France - HCP Survey Email - June 2025</v>
      </c>
      <c r="C2954" s="3" t="str">
        <f>HYPERLINK("https://otsuka-europe-crm.veevavault.com/ui/#object/sent_email__v/VBLZ025E82GNPGE", "SE-000274657")</f>
        <v>SE-000274657</v>
      </c>
      <c r="D2954" s="4" t="s">
        <v>11</v>
      </c>
      <c r="E2954" s="5">
        <v>0</v>
      </c>
      <c r="F2954" s="5">
        <v>0</v>
      </c>
      <c r="G2954" s="5">
        <v>0</v>
      </c>
      <c r="H2954" s="4" t="s">
        <v>11</v>
      </c>
      <c r="I2954" s="5">
        <v>0</v>
      </c>
      <c r="J2954" s="4">
        <v>45916.294895833336</v>
      </c>
    </row>
    <row r="2955" spans="1:10" x14ac:dyDescent="0.2">
      <c r="A2955" s="2" t="s">
        <v>10</v>
      </c>
      <c r="B2955" s="3" t="str">
        <f t="shared" si="56"/>
        <v>France - HCP Survey Email - June 2025</v>
      </c>
      <c r="C2955" s="3" t="str">
        <f>HYPERLINK("https://otsuka-europe-crm.veevavault.com/ui/#object/sent_email__v/VBLZ025E82GNPGF", "SE-000274658")</f>
        <v>SE-000274658</v>
      </c>
      <c r="D2955" s="4" t="s">
        <v>11</v>
      </c>
      <c r="E2955" s="5">
        <v>0</v>
      </c>
      <c r="F2955" s="5">
        <v>0</v>
      </c>
      <c r="G2955" s="5">
        <v>0</v>
      </c>
      <c r="H2955" s="4" t="s">
        <v>11</v>
      </c>
      <c r="I2955" s="5">
        <v>0</v>
      </c>
      <c r="J2955" s="4">
        <v>45916.294317129628</v>
      </c>
    </row>
    <row r="2956" spans="1:10" x14ac:dyDescent="0.2">
      <c r="A2956" s="2" t="s">
        <v>10</v>
      </c>
      <c r="B2956" s="3" t="str">
        <f t="shared" si="56"/>
        <v>France - HCP Survey Email - June 2025</v>
      </c>
      <c r="C2956" s="3" t="str">
        <f>HYPERLINK("https://otsuka-europe-crm.veevavault.com/ui/#object/sent_email__v/VBLZ025E82GNPGG", "SE-000274659")</f>
        <v>SE-000274659</v>
      </c>
      <c r="D2956" s="4" t="s">
        <v>11</v>
      </c>
      <c r="E2956" s="5">
        <v>0</v>
      </c>
      <c r="F2956" s="5">
        <v>0</v>
      </c>
      <c r="G2956" s="5">
        <v>0</v>
      </c>
      <c r="H2956" s="4" t="s">
        <v>11</v>
      </c>
      <c r="I2956" s="5">
        <v>0</v>
      </c>
      <c r="J2956" s="4">
        <v>45916.294537037036</v>
      </c>
    </row>
    <row r="2957" spans="1:10" x14ac:dyDescent="0.2">
      <c r="A2957" s="2" t="s">
        <v>10</v>
      </c>
      <c r="B2957" s="3" t="str">
        <f t="shared" si="56"/>
        <v>France - HCP Survey Email - June 2025</v>
      </c>
      <c r="C2957" s="3" t="str">
        <f>HYPERLINK("https://otsuka-europe-crm.veevavault.com/ui/#object/sent_email__v/VBLZ025E82GNPGH", "SE-000274660")</f>
        <v>SE-000274660</v>
      </c>
      <c r="D2957" s="4">
        <v>45937.524236111109</v>
      </c>
      <c r="E2957" s="5">
        <v>1</v>
      </c>
      <c r="F2957" s="5">
        <v>7</v>
      </c>
      <c r="G2957" s="5">
        <v>0</v>
      </c>
      <c r="H2957" s="4" t="s">
        <v>11</v>
      </c>
      <c r="I2957" s="5">
        <v>0</v>
      </c>
      <c r="J2957" s="4">
        <v>45916.29483796296</v>
      </c>
    </row>
    <row r="2958" spans="1:10" x14ac:dyDescent="0.2">
      <c r="A2958" s="2" t="s">
        <v>10</v>
      </c>
      <c r="B2958" s="3" t="str">
        <f t="shared" si="56"/>
        <v>France - HCP Survey Email - June 2025</v>
      </c>
      <c r="C2958" s="3" t="str">
        <f>HYPERLINK("https://otsuka-europe-crm.veevavault.com/ui/#object/sent_email__v/VBLZ025E82GNPGI", "SE-000274661")</f>
        <v>SE-000274661</v>
      </c>
      <c r="D2958" s="4" t="s">
        <v>11</v>
      </c>
      <c r="E2958" s="5">
        <v>0</v>
      </c>
      <c r="F2958" s="5">
        <v>0</v>
      </c>
      <c r="G2958" s="5">
        <v>0</v>
      </c>
      <c r="H2958" s="4" t="s">
        <v>11</v>
      </c>
      <c r="I2958" s="5">
        <v>0</v>
      </c>
      <c r="J2958" s="4">
        <v>45916.294942129629</v>
      </c>
    </row>
    <row r="2959" spans="1:10" x14ac:dyDescent="0.2">
      <c r="A2959" s="2" t="s">
        <v>10</v>
      </c>
      <c r="B2959" s="3" t="str">
        <f t="shared" si="56"/>
        <v>France - HCP Survey Email - June 2025</v>
      </c>
      <c r="C2959" s="3" t="str">
        <f>HYPERLINK("https://otsuka-europe-crm.veevavault.com/ui/#object/sent_email__v/VBLZ025E82GNPGJ", "SE-000274662")</f>
        <v>SE-000274662</v>
      </c>
      <c r="D2959" s="4" t="s">
        <v>11</v>
      </c>
      <c r="E2959" s="5">
        <v>0</v>
      </c>
      <c r="F2959" s="5">
        <v>0</v>
      </c>
      <c r="G2959" s="5">
        <v>0</v>
      </c>
      <c r="H2959" s="4" t="s">
        <v>11</v>
      </c>
      <c r="I2959" s="5">
        <v>0</v>
      </c>
      <c r="J2959" s="4">
        <v>45916.294351851851</v>
      </c>
    </row>
    <row r="2960" spans="1:10" x14ac:dyDescent="0.2">
      <c r="A2960" s="2" t="s">
        <v>10</v>
      </c>
      <c r="B2960" s="3" t="str">
        <f t="shared" si="56"/>
        <v>France - HCP Survey Email - June 2025</v>
      </c>
      <c r="C2960" s="3" t="str">
        <f>HYPERLINK("https://otsuka-europe-crm.veevavault.com/ui/#object/sent_email__v/VBLZ025E82GNPGK", "SE-000274663")</f>
        <v>SE-000274663</v>
      </c>
      <c r="D2960" s="4" t="s">
        <v>11</v>
      </c>
      <c r="E2960" s="5">
        <v>0</v>
      </c>
      <c r="F2960" s="5">
        <v>0</v>
      </c>
      <c r="G2960" s="5">
        <v>0</v>
      </c>
      <c r="H2960" s="4" t="s">
        <v>11</v>
      </c>
      <c r="I2960" s="5">
        <v>0</v>
      </c>
      <c r="J2960" s="4">
        <v>45916.294606481482</v>
      </c>
    </row>
    <row r="2961" spans="1:10" x14ac:dyDescent="0.2">
      <c r="A2961" s="2" t="s">
        <v>10</v>
      </c>
      <c r="B2961" s="3" t="str">
        <f t="shared" si="56"/>
        <v>France - HCP Survey Email - June 2025</v>
      </c>
      <c r="C2961" s="3" t="str">
        <f>HYPERLINK("https://otsuka-europe-crm.veevavault.com/ui/#object/sent_email__v/VBLZ025E82GNPGL", "SE-000274664")</f>
        <v>SE-000274664</v>
      </c>
      <c r="D2961" s="4" t="s">
        <v>11</v>
      </c>
      <c r="E2961" s="5">
        <v>0</v>
      </c>
      <c r="F2961" s="5">
        <v>0</v>
      </c>
      <c r="G2961" s="5">
        <v>0</v>
      </c>
      <c r="H2961" s="4" t="s">
        <v>11</v>
      </c>
      <c r="I2961" s="5">
        <v>0</v>
      </c>
      <c r="J2961" s="4">
        <v>45916.294953703706</v>
      </c>
    </row>
    <row r="2962" spans="1:10" x14ac:dyDescent="0.2">
      <c r="A2962" s="2" t="s">
        <v>10</v>
      </c>
      <c r="B2962" s="3" t="str">
        <f t="shared" si="56"/>
        <v>France - HCP Survey Email - June 2025</v>
      </c>
      <c r="C2962" s="3" t="str">
        <f>HYPERLINK("https://otsuka-europe-crm.veevavault.com/ui/#object/sent_email__v/VBLZ025E82GNPGM", "SE-000274665")</f>
        <v>SE-000274665</v>
      </c>
      <c r="D2962" s="4" t="s">
        <v>11</v>
      </c>
      <c r="E2962" s="5">
        <v>0</v>
      </c>
      <c r="F2962" s="5">
        <v>0</v>
      </c>
      <c r="G2962" s="5">
        <v>0</v>
      </c>
      <c r="H2962" s="4" t="s">
        <v>11</v>
      </c>
      <c r="I2962" s="5">
        <v>0</v>
      </c>
      <c r="J2962" s="4">
        <v>45916.294212962966</v>
      </c>
    </row>
    <row r="2963" spans="1:10" x14ac:dyDescent="0.2">
      <c r="A2963" s="2" t="s">
        <v>10</v>
      </c>
      <c r="B2963" s="3" t="str">
        <f t="shared" si="56"/>
        <v>France - HCP Survey Email - June 2025</v>
      </c>
      <c r="C2963" s="3" t="str">
        <f>HYPERLINK("https://otsuka-europe-crm.veevavault.com/ui/#object/sent_email__v/VBLZ025E82GNPGN", "SE-000274666")</f>
        <v>SE-000274666</v>
      </c>
      <c r="D2963" s="4" t="s">
        <v>11</v>
      </c>
      <c r="E2963" s="5">
        <v>0</v>
      </c>
      <c r="F2963" s="5">
        <v>0</v>
      </c>
      <c r="G2963" s="5">
        <v>0</v>
      </c>
      <c r="H2963" s="4" t="s">
        <v>11</v>
      </c>
      <c r="I2963" s="5">
        <v>0</v>
      </c>
      <c r="J2963" s="4">
        <v>45916.294444444444</v>
      </c>
    </row>
    <row r="2964" spans="1:10" x14ac:dyDescent="0.2">
      <c r="A2964" s="2" t="s">
        <v>10</v>
      </c>
      <c r="B2964" s="3" t="str">
        <f t="shared" si="56"/>
        <v>France - HCP Survey Email - June 2025</v>
      </c>
      <c r="C2964" s="3" t="str">
        <f>HYPERLINK("https://otsuka-europe-crm.veevavault.com/ui/#object/sent_email__v/VBLZ025E82GNPGO", "SE-000274667")</f>
        <v>SE-000274667</v>
      </c>
      <c r="D2964" s="4" t="s">
        <v>11</v>
      </c>
      <c r="E2964" s="5">
        <v>0</v>
      </c>
      <c r="F2964" s="5">
        <v>0</v>
      </c>
      <c r="G2964" s="5">
        <v>0</v>
      </c>
      <c r="H2964" s="4" t="s">
        <v>11</v>
      </c>
      <c r="I2964" s="5">
        <v>0</v>
      </c>
      <c r="J2964" s="4">
        <v>45916.294606481482</v>
      </c>
    </row>
    <row r="2965" spans="1:10" x14ac:dyDescent="0.2">
      <c r="A2965" s="2" t="s">
        <v>10</v>
      </c>
      <c r="B2965" s="3" t="str">
        <f t="shared" si="56"/>
        <v>France - HCP Survey Email - June 2025</v>
      </c>
      <c r="C2965" s="3" t="str">
        <f>HYPERLINK("https://otsuka-europe-crm.veevavault.com/ui/#object/sent_email__v/VBLZ025E82GNPGP", "SE-000274668")</f>
        <v>SE-000274668</v>
      </c>
      <c r="D2965" s="4" t="s">
        <v>11</v>
      </c>
      <c r="E2965" s="5">
        <v>0</v>
      </c>
      <c r="F2965" s="5">
        <v>0</v>
      </c>
      <c r="G2965" s="5">
        <v>0</v>
      </c>
      <c r="H2965" s="4" t="s">
        <v>11</v>
      </c>
      <c r="I2965" s="5">
        <v>0</v>
      </c>
      <c r="J2965" s="4">
        <v>45916.294907407406</v>
      </c>
    </row>
    <row r="2966" spans="1:10" x14ac:dyDescent="0.2">
      <c r="A2966" s="2" t="s">
        <v>10</v>
      </c>
      <c r="B2966" s="3" t="str">
        <f t="shared" si="56"/>
        <v>France - HCP Survey Email - June 2025</v>
      </c>
      <c r="C2966" s="3" t="str">
        <f>HYPERLINK("https://otsuka-europe-crm.veevavault.com/ui/#object/sent_email__v/VBLZ025E82GNPGQ", "SE-000274669")</f>
        <v>SE-000274669</v>
      </c>
      <c r="D2966" s="4" t="s">
        <v>11</v>
      </c>
      <c r="E2966" s="5">
        <v>0</v>
      </c>
      <c r="F2966" s="5">
        <v>0</v>
      </c>
      <c r="G2966" s="5">
        <v>0</v>
      </c>
      <c r="H2966" s="4" t="s">
        <v>11</v>
      </c>
      <c r="I2966" s="5">
        <v>0</v>
      </c>
      <c r="J2966" s="4">
        <v>45916.294247685182</v>
      </c>
    </row>
    <row r="2967" spans="1:10" x14ac:dyDescent="0.2">
      <c r="A2967" s="2" t="s">
        <v>10</v>
      </c>
      <c r="B2967" s="3" t="str">
        <f t="shared" si="56"/>
        <v>France - HCP Survey Email - June 2025</v>
      </c>
      <c r="C2967" s="3" t="str">
        <f>HYPERLINK("https://otsuka-europe-crm.veevavault.com/ui/#object/sent_email__v/VBLZ025E82GNPGR", "SE-000274670")</f>
        <v>SE-000274670</v>
      </c>
      <c r="D2967" s="4" t="s">
        <v>11</v>
      </c>
      <c r="E2967" s="5">
        <v>0</v>
      </c>
      <c r="F2967" s="5">
        <v>0</v>
      </c>
      <c r="G2967" s="5">
        <v>0</v>
      </c>
      <c r="H2967" s="4" t="s">
        <v>11</v>
      </c>
      <c r="I2967" s="5">
        <v>0</v>
      </c>
      <c r="J2967" s="4">
        <v>45916.294502314813</v>
      </c>
    </row>
    <row r="2968" spans="1:10" x14ac:dyDescent="0.2">
      <c r="A2968" s="2" t="s">
        <v>10</v>
      </c>
      <c r="B2968" s="3" t="str">
        <f t="shared" si="56"/>
        <v>France - HCP Survey Email - June 2025</v>
      </c>
      <c r="C2968" s="3" t="str">
        <f>HYPERLINK("https://otsuka-europe-crm.veevavault.com/ui/#object/sent_email__v/VBLZ025E82GNPGS", "SE-000274671")</f>
        <v>SE-000274671</v>
      </c>
      <c r="D2968" s="4" t="s">
        <v>11</v>
      </c>
      <c r="E2968" s="5">
        <v>0</v>
      </c>
      <c r="F2968" s="5">
        <v>0</v>
      </c>
      <c r="G2968" s="5">
        <v>0</v>
      </c>
      <c r="H2968" s="4" t="s">
        <v>11</v>
      </c>
      <c r="I2968" s="5">
        <v>0</v>
      </c>
      <c r="J2968" s="4">
        <v>45916.29483796296</v>
      </c>
    </row>
    <row r="2969" spans="1:10" x14ac:dyDescent="0.2">
      <c r="A2969" s="2" t="s">
        <v>10</v>
      </c>
      <c r="B2969" s="3" t="str">
        <f t="shared" si="56"/>
        <v>France - HCP Survey Email - June 2025</v>
      </c>
      <c r="C2969" s="3" t="str">
        <f>HYPERLINK("https://otsuka-europe-crm.veevavault.com/ui/#object/sent_email__v/VBLZ025E82GNPGT", "SE-000274672")</f>
        <v>SE-000274672</v>
      </c>
      <c r="D2969" s="4" t="s">
        <v>11</v>
      </c>
      <c r="E2969" s="5">
        <v>0</v>
      </c>
      <c r="F2969" s="5">
        <v>0</v>
      </c>
      <c r="G2969" s="5">
        <v>0</v>
      </c>
      <c r="H2969" s="4" t="s">
        <v>11</v>
      </c>
      <c r="I2969" s="5">
        <v>0</v>
      </c>
      <c r="J2969" s="4">
        <v>45916.295034722221</v>
      </c>
    </row>
    <row r="2970" spans="1:10" x14ac:dyDescent="0.2">
      <c r="A2970" s="2" t="s">
        <v>10</v>
      </c>
      <c r="B2970" s="3" t="str">
        <f t="shared" si="56"/>
        <v>France - HCP Survey Email - June 2025</v>
      </c>
      <c r="C2970" s="3" t="str">
        <f>HYPERLINK("https://otsuka-europe-crm.veevavault.com/ui/#object/sent_email__v/VBLZ025E82GNPGU", "SE-000274673")</f>
        <v>SE-000274673</v>
      </c>
      <c r="D2970" s="4" t="s">
        <v>11</v>
      </c>
      <c r="E2970" s="5">
        <v>0</v>
      </c>
      <c r="F2970" s="5">
        <v>0</v>
      </c>
      <c r="G2970" s="5">
        <v>0</v>
      </c>
      <c r="H2970" s="4" t="s">
        <v>11</v>
      </c>
      <c r="I2970" s="5">
        <v>0</v>
      </c>
      <c r="J2970" s="4">
        <v>45916.294386574074</v>
      </c>
    </row>
    <row r="2971" spans="1:10" x14ac:dyDescent="0.2">
      <c r="A2971" s="2" t="s">
        <v>10</v>
      </c>
      <c r="B2971" s="3" t="str">
        <f t="shared" si="56"/>
        <v>France - HCP Survey Email - June 2025</v>
      </c>
      <c r="C2971" s="3" t="str">
        <f>HYPERLINK("https://otsuka-europe-crm.veevavault.com/ui/#object/sent_email__v/VBLZ025E82GNPGV", "SE-000274674")</f>
        <v>SE-000274674</v>
      </c>
      <c r="D2971" s="4" t="s">
        <v>11</v>
      </c>
      <c r="E2971" s="5">
        <v>0</v>
      </c>
      <c r="F2971" s="5">
        <v>0</v>
      </c>
      <c r="G2971" s="5">
        <v>0</v>
      </c>
      <c r="H2971" s="4" t="s">
        <v>11</v>
      </c>
      <c r="I2971" s="5">
        <v>0</v>
      </c>
      <c r="J2971" s="4">
        <v>45916.294641203705</v>
      </c>
    </row>
    <row r="2972" spans="1:10" x14ac:dyDescent="0.2">
      <c r="A2972" s="2" t="s">
        <v>10</v>
      </c>
      <c r="B2972" s="3" t="str">
        <f t="shared" si="56"/>
        <v>France - HCP Survey Email - June 2025</v>
      </c>
      <c r="C2972" s="3" t="str">
        <f>HYPERLINK("https://otsuka-europe-crm.veevavault.com/ui/#object/sent_email__v/VBLZ025E82GNPGW", "SE-000274675")</f>
        <v>SE-000274675</v>
      </c>
      <c r="D2972" s="4" t="s">
        <v>11</v>
      </c>
      <c r="E2972" s="5">
        <v>0</v>
      </c>
      <c r="F2972" s="5">
        <v>0</v>
      </c>
      <c r="G2972" s="5">
        <v>0</v>
      </c>
      <c r="H2972" s="4" t="s">
        <v>11</v>
      </c>
      <c r="I2972" s="5">
        <v>0</v>
      </c>
      <c r="J2972" s="4">
        <v>45916.294722222221</v>
      </c>
    </row>
    <row r="2973" spans="1:10" x14ac:dyDescent="0.2">
      <c r="A2973" s="2" t="s">
        <v>10</v>
      </c>
      <c r="B2973" s="3" t="str">
        <f t="shared" si="56"/>
        <v>France - HCP Survey Email - June 2025</v>
      </c>
      <c r="C2973" s="3" t="str">
        <f>HYPERLINK("https://otsuka-europe-crm.veevavault.com/ui/#object/sent_email__v/VBLZ025E82GNPGX", "SE-000274676")</f>
        <v>SE-000274676</v>
      </c>
      <c r="D2973" s="4" t="s">
        <v>11</v>
      </c>
      <c r="E2973" s="5">
        <v>0</v>
      </c>
      <c r="F2973" s="5">
        <v>0</v>
      </c>
      <c r="G2973" s="5">
        <v>0</v>
      </c>
      <c r="H2973" s="4" t="s">
        <v>11</v>
      </c>
      <c r="I2973" s="5">
        <v>0</v>
      </c>
      <c r="J2973" s="4">
        <v>45916.294976851852</v>
      </c>
    </row>
    <row r="2974" spans="1:10" x14ac:dyDescent="0.2">
      <c r="A2974" s="2" t="s">
        <v>10</v>
      </c>
      <c r="B2974" s="3" t="str">
        <f t="shared" si="56"/>
        <v>France - HCP Survey Email - June 2025</v>
      </c>
      <c r="C2974" s="3" t="str">
        <f>HYPERLINK("https://otsuka-europe-crm.veevavault.com/ui/#object/sent_email__v/VBLZ025E82GNPGY", "SE-000274677")</f>
        <v>SE-000274677</v>
      </c>
      <c r="D2974" s="4">
        <v>45916.320902777778</v>
      </c>
      <c r="E2974" s="5">
        <v>1</v>
      </c>
      <c r="F2974" s="5">
        <v>1</v>
      </c>
      <c r="G2974" s="5">
        <v>0</v>
      </c>
      <c r="H2974" s="4" t="s">
        <v>11</v>
      </c>
      <c r="I2974" s="5">
        <v>0</v>
      </c>
      <c r="J2974" s="4">
        <v>45916.294363425928</v>
      </c>
    </row>
    <row r="2975" spans="1:10" x14ac:dyDescent="0.2">
      <c r="A2975" s="2" t="s">
        <v>10</v>
      </c>
      <c r="B2975" s="3" t="str">
        <f t="shared" si="56"/>
        <v>France - HCP Survey Email - June 2025</v>
      </c>
      <c r="C2975" s="3" t="str">
        <f>HYPERLINK("https://otsuka-europe-crm.veevavault.com/ui/#object/sent_email__v/VBLZ025E82GNPGZ", "SE-000274678")</f>
        <v>SE-000274678</v>
      </c>
      <c r="D2975" s="4" t="s">
        <v>11</v>
      </c>
      <c r="E2975" s="5">
        <v>0</v>
      </c>
      <c r="F2975" s="5">
        <v>0</v>
      </c>
      <c r="G2975" s="5">
        <v>0</v>
      </c>
      <c r="H2975" s="4" t="s">
        <v>11</v>
      </c>
      <c r="I2975" s="5">
        <v>0</v>
      </c>
      <c r="J2975" s="4">
        <v>45916.294629629629</v>
      </c>
    </row>
    <row r="2976" spans="1:10" x14ac:dyDescent="0.2">
      <c r="A2976" s="2" t="s">
        <v>10</v>
      </c>
      <c r="B2976" s="3" t="str">
        <f t="shared" si="56"/>
        <v>France - HCP Survey Email - June 2025</v>
      </c>
      <c r="C2976" s="3" t="str">
        <f>HYPERLINK("https://otsuka-europe-crm.veevavault.com/ui/#object/sent_email__v/VBLZ025E82GNPH0", "SE-000274679")</f>
        <v>SE-000274679</v>
      </c>
      <c r="D2976" s="4" t="s">
        <v>11</v>
      </c>
      <c r="E2976" s="5">
        <v>0</v>
      </c>
      <c r="F2976" s="5">
        <v>0</v>
      </c>
      <c r="G2976" s="5">
        <v>0</v>
      </c>
      <c r="H2976" s="4" t="s">
        <v>11</v>
      </c>
      <c r="I2976" s="5">
        <v>0</v>
      </c>
      <c r="J2976" s="4">
        <v>45916.294872685183</v>
      </c>
    </row>
    <row r="2977" spans="1:10" x14ac:dyDescent="0.2">
      <c r="A2977" s="2" t="s">
        <v>10</v>
      </c>
      <c r="B2977" s="3" t="str">
        <f t="shared" si="56"/>
        <v>France - HCP Survey Email - June 2025</v>
      </c>
      <c r="C2977" s="3" t="str">
        <f>HYPERLINK("https://otsuka-europe-crm.veevavault.com/ui/#object/sent_email__v/VBLZ025E82GNPH1", "SE-000274680")</f>
        <v>SE-000274680</v>
      </c>
      <c r="D2977" s="4">
        <v>45916.306261574071</v>
      </c>
      <c r="E2977" s="5">
        <v>1</v>
      </c>
      <c r="F2977" s="5">
        <v>1</v>
      </c>
      <c r="G2977" s="5">
        <v>1</v>
      </c>
      <c r="H2977" s="4">
        <v>45916.306886574072</v>
      </c>
      <c r="I2977" s="5">
        <v>2</v>
      </c>
      <c r="J2977" s="4">
        <v>45916.294224537036</v>
      </c>
    </row>
    <row r="2978" spans="1:10" x14ac:dyDescent="0.2">
      <c r="A2978" s="2" t="s">
        <v>10</v>
      </c>
      <c r="B2978" s="3" t="str">
        <f t="shared" si="56"/>
        <v>France - HCP Survey Email - June 2025</v>
      </c>
      <c r="C2978" s="3" t="str">
        <f>HYPERLINK("https://otsuka-europe-crm.veevavault.com/ui/#object/sent_email__v/VBLZ025E82GNPH2", "SE-000274681")</f>
        <v>SE-000274681</v>
      </c>
      <c r="D2978" s="4">
        <v>45916.319953703707</v>
      </c>
      <c r="E2978" s="5">
        <v>1</v>
      </c>
      <c r="F2978" s="5">
        <v>1</v>
      </c>
      <c r="G2978" s="5">
        <v>0</v>
      </c>
      <c r="H2978" s="4" t="s">
        <v>11</v>
      </c>
      <c r="I2978" s="5">
        <v>0</v>
      </c>
      <c r="J2978" s="4">
        <v>45916.294421296298</v>
      </c>
    </row>
    <row r="2979" spans="1:10" x14ac:dyDescent="0.2">
      <c r="A2979" s="2" t="s">
        <v>10</v>
      </c>
      <c r="B2979" s="3" t="str">
        <f t="shared" si="56"/>
        <v>France - HCP Survey Email - June 2025</v>
      </c>
      <c r="C2979" s="3" t="str">
        <f>HYPERLINK("https://otsuka-europe-crm.veevavault.com/ui/#object/sent_email__v/VBLZ025E82GNPH3", "SE-000274682")</f>
        <v>SE-000274682</v>
      </c>
      <c r="D2979" s="4" t="s">
        <v>11</v>
      </c>
      <c r="E2979" s="5">
        <v>0</v>
      </c>
      <c r="F2979" s="5">
        <v>0</v>
      </c>
      <c r="G2979" s="5">
        <v>0</v>
      </c>
      <c r="H2979" s="4" t="s">
        <v>11</v>
      </c>
      <c r="I2979" s="5">
        <v>0</v>
      </c>
      <c r="J2979" s="4">
        <v>45916.294756944444</v>
      </c>
    </row>
    <row r="2980" spans="1:10" x14ac:dyDescent="0.2">
      <c r="A2980" s="2" t="s">
        <v>10</v>
      </c>
      <c r="B2980" s="3" t="str">
        <f t="shared" si="56"/>
        <v>France - HCP Survey Email - June 2025</v>
      </c>
      <c r="C2980" s="3" t="str">
        <f>HYPERLINK("https://otsuka-europe-crm.veevavault.com/ui/#object/sent_email__v/VBLZ025E82GNPH4", "SE-000274683")</f>
        <v>SE-000274683</v>
      </c>
      <c r="D2980" s="4" t="s">
        <v>11</v>
      </c>
      <c r="E2980" s="5">
        <v>0</v>
      </c>
      <c r="F2980" s="5">
        <v>0</v>
      </c>
      <c r="G2980" s="5">
        <v>0</v>
      </c>
      <c r="H2980" s="4" t="s">
        <v>11</v>
      </c>
      <c r="I2980" s="5">
        <v>0</v>
      </c>
      <c r="J2980" s="4">
        <v>45916.294965277775</v>
      </c>
    </row>
    <row r="2981" spans="1:10" x14ac:dyDescent="0.2">
      <c r="A2981" s="2" t="s">
        <v>10</v>
      </c>
      <c r="B2981" s="3" t="str">
        <f t="shared" si="56"/>
        <v>France - HCP Survey Email - June 2025</v>
      </c>
      <c r="C2981" s="3" t="str">
        <f>HYPERLINK("https://otsuka-europe-crm.veevavault.com/ui/#object/sent_email__v/VBLZ025E82GNPH5", "SE-000274684")</f>
        <v>SE-000274684</v>
      </c>
      <c r="D2981" s="4">
        <v>45922.455405092594</v>
      </c>
      <c r="E2981" s="5">
        <v>1</v>
      </c>
      <c r="F2981" s="5">
        <v>1</v>
      </c>
      <c r="G2981" s="5">
        <v>1</v>
      </c>
      <c r="H2981" s="4">
        <v>45922.455405092594</v>
      </c>
      <c r="I2981" s="5">
        <v>1</v>
      </c>
      <c r="J2981" s="4">
        <v>45916.294328703705</v>
      </c>
    </row>
    <row r="2982" spans="1:10" x14ac:dyDescent="0.2">
      <c r="A2982" s="2" t="s">
        <v>10</v>
      </c>
      <c r="B2982" s="3" t="str">
        <f t="shared" si="56"/>
        <v>France - HCP Survey Email - June 2025</v>
      </c>
      <c r="C2982" s="3" t="str">
        <f>HYPERLINK("https://otsuka-europe-crm.veevavault.com/ui/#object/sent_email__v/VBLZ025E82GNPH6", "SE-000274685")</f>
        <v>SE-000274685</v>
      </c>
      <c r="D2982" s="4" t="s">
        <v>11</v>
      </c>
      <c r="E2982" s="5">
        <v>0</v>
      </c>
      <c r="F2982" s="5">
        <v>0</v>
      </c>
      <c r="G2982" s="5">
        <v>0</v>
      </c>
      <c r="H2982" s="4" t="s">
        <v>11</v>
      </c>
      <c r="I2982" s="5">
        <v>0</v>
      </c>
      <c r="J2982" s="4">
        <v>45916.294606481482</v>
      </c>
    </row>
    <row r="2983" spans="1:10" x14ac:dyDescent="0.2">
      <c r="A2983" s="2" t="s">
        <v>10</v>
      </c>
      <c r="B2983" s="3" t="str">
        <f t="shared" si="56"/>
        <v>France - HCP Survey Email - June 2025</v>
      </c>
      <c r="C2983" s="3" t="str">
        <f>HYPERLINK("https://otsuka-europe-crm.veevavault.com/ui/#object/sent_email__v/VBLZ025E82GNPH7", "SE-000274686")</f>
        <v>SE-000274686</v>
      </c>
      <c r="D2983" s="4" t="s">
        <v>11</v>
      </c>
      <c r="E2983" s="5">
        <v>0</v>
      </c>
      <c r="F2983" s="5">
        <v>0</v>
      </c>
      <c r="G2983" s="5">
        <v>0</v>
      </c>
      <c r="H2983" s="4" t="s">
        <v>11</v>
      </c>
      <c r="I2983" s="5">
        <v>0</v>
      </c>
      <c r="J2983" s="4">
        <v>45916.294710648152</v>
      </c>
    </row>
    <row r="2984" spans="1:10" x14ac:dyDescent="0.2">
      <c r="A2984" s="2" t="s">
        <v>10</v>
      </c>
      <c r="B2984" s="3" t="str">
        <f t="shared" si="56"/>
        <v>France - HCP Survey Email - June 2025</v>
      </c>
      <c r="C2984" s="3" t="str">
        <f>HYPERLINK("https://otsuka-europe-crm.veevavault.com/ui/#object/sent_email__v/VBLZ025E82GNPH8", "SE-000274687")</f>
        <v>SE-000274687</v>
      </c>
      <c r="D2984" s="4">
        <v>45916.392638888887</v>
      </c>
      <c r="E2984" s="5">
        <v>1</v>
      </c>
      <c r="F2984" s="5">
        <v>2</v>
      </c>
      <c r="G2984" s="5">
        <v>1</v>
      </c>
      <c r="H2984" s="4">
        <v>45916.393252314818</v>
      </c>
      <c r="I2984" s="5">
        <v>2</v>
      </c>
      <c r="J2984" s="4">
        <v>45916.294918981483</v>
      </c>
    </row>
    <row r="2985" spans="1:10" x14ac:dyDescent="0.2">
      <c r="A2985" s="2" t="s">
        <v>10</v>
      </c>
      <c r="B2985" s="3" t="str">
        <f t="shared" si="56"/>
        <v>France - HCP Survey Email - June 2025</v>
      </c>
      <c r="C2985" s="3" t="str">
        <f>HYPERLINK("https://otsuka-europe-crm.veevavault.com/ui/#object/sent_email__v/VBLZ025E82GNPH9", "SE-000274688")</f>
        <v>SE-000274688</v>
      </c>
      <c r="D2985" s="4" t="s">
        <v>11</v>
      </c>
      <c r="E2985" s="5">
        <v>0</v>
      </c>
      <c r="F2985" s="5">
        <v>0</v>
      </c>
      <c r="G2985" s="5">
        <v>0</v>
      </c>
      <c r="H2985" s="4" t="s">
        <v>11</v>
      </c>
      <c r="I2985" s="5">
        <v>0</v>
      </c>
      <c r="J2985" s="4">
        <v>45916.294479166667</v>
      </c>
    </row>
    <row r="2986" spans="1:10" x14ac:dyDescent="0.2">
      <c r="A2986" s="2" t="s">
        <v>10</v>
      </c>
      <c r="B2986" s="3" t="str">
        <f t="shared" si="56"/>
        <v>France - HCP Survey Email - June 2025</v>
      </c>
      <c r="C2986" s="3" t="str">
        <f>HYPERLINK("https://otsuka-europe-crm.veevavault.com/ui/#object/sent_email__v/VBLZ025E82GNPHA", "SE-000274689")</f>
        <v>SE-000274689</v>
      </c>
      <c r="D2986" s="4" t="s">
        <v>11</v>
      </c>
      <c r="E2986" s="5">
        <v>0</v>
      </c>
      <c r="F2986" s="5">
        <v>0</v>
      </c>
      <c r="G2986" s="5">
        <v>0</v>
      </c>
      <c r="H2986" s="4" t="s">
        <v>11</v>
      </c>
      <c r="I2986" s="5">
        <v>0</v>
      </c>
      <c r="J2986" s="4">
        <v>45916.294571759259</v>
      </c>
    </row>
    <row r="2987" spans="1:10" x14ac:dyDescent="0.2">
      <c r="A2987" s="2" t="s">
        <v>10</v>
      </c>
      <c r="B2987" s="3" t="str">
        <f t="shared" si="56"/>
        <v>France - HCP Survey Email - June 2025</v>
      </c>
      <c r="C2987" s="3" t="str">
        <f>HYPERLINK("https://otsuka-europe-crm.veevavault.com/ui/#object/sent_email__v/VBLZ025E82GNPHB", "SE-000274690")</f>
        <v>SE-000274690</v>
      </c>
      <c r="D2987" s="4" t="s">
        <v>11</v>
      </c>
      <c r="E2987" s="5">
        <v>0</v>
      </c>
      <c r="F2987" s="5">
        <v>0</v>
      </c>
      <c r="G2987" s="5">
        <v>0</v>
      </c>
      <c r="H2987" s="4" t="s">
        <v>11</v>
      </c>
      <c r="I2987" s="5">
        <v>0</v>
      </c>
      <c r="J2987" s="4">
        <v>45916.294872685183</v>
      </c>
    </row>
    <row r="2988" spans="1:10" x14ac:dyDescent="0.2">
      <c r="A2988" s="2" t="s">
        <v>10</v>
      </c>
      <c r="B2988" s="3" t="str">
        <f t="shared" si="56"/>
        <v>France - HCP Survey Email - June 2025</v>
      </c>
      <c r="C2988" s="3" t="str">
        <f>HYPERLINK("https://otsuka-europe-crm.veevavault.com/ui/#object/sent_email__v/VBLZ025E82GNPHC", "SE-000274691")</f>
        <v>SE-000274691</v>
      </c>
      <c r="D2988" s="4" t="s">
        <v>11</v>
      </c>
      <c r="E2988" s="5">
        <v>0</v>
      </c>
      <c r="F2988" s="5">
        <v>0</v>
      </c>
      <c r="G2988" s="5">
        <v>0</v>
      </c>
      <c r="H2988" s="4" t="s">
        <v>11</v>
      </c>
      <c r="I2988" s="5">
        <v>0</v>
      </c>
      <c r="J2988" s="4">
        <v>45916.294259259259</v>
      </c>
    </row>
    <row r="2989" spans="1:10" x14ac:dyDescent="0.2">
      <c r="A2989" s="2" t="s">
        <v>10</v>
      </c>
      <c r="B2989" s="3" t="str">
        <f t="shared" si="56"/>
        <v>France - HCP Survey Email - June 2025</v>
      </c>
      <c r="C2989" s="3" t="str">
        <f>HYPERLINK("https://otsuka-europe-crm.veevavault.com/ui/#object/sent_email__v/VBLZ025E82GNPHD", "SE-000274692")</f>
        <v>SE-000274692</v>
      </c>
      <c r="D2989" s="4" t="s">
        <v>11</v>
      </c>
      <c r="E2989" s="5">
        <v>0</v>
      </c>
      <c r="F2989" s="5">
        <v>0</v>
      </c>
      <c r="G2989" s="5">
        <v>0</v>
      </c>
      <c r="H2989" s="4" t="s">
        <v>11</v>
      </c>
      <c r="I2989" s="5">
        <v>0</v>
      </c>
      <c r="J2989" s="4">
        <v>45916.294421296298</v>
      </c>
    </row>
    <row r="2990" spans="1:10" x14ac:dyDescent="0.2">
      <c r="A2990" s="2" t="s">
        <v>10</v>
      </c>
      <c r="B2990" s="3" t="str">
        <f t="shared" si="56"/>
        <v>France - HCP Survey Email - June 2025</v>
      </c>
      <c r="C2990" s="3" t="str">
        <f>HYPERLINK("https://otsuka-europe-crm.veevavault.com/ui/#object/sent_email__v/VBLZ025E82GNPHE", "SE-000274693")</f>
        <v>SE-000274693</v>
      </c>
      <c r="D2990" s="4" t="s">
        <v>11</v>
      </c>
      <c r="E2990" s="5">
        <v>0</v>
      </c>
      <c r="F2990" s="5">
        <v>0</v>
      </c>
      <c r="G2990" s="5">
        <v>0</v>
      </c>
      <c r="H2990" s="4" t="s">
        <v>11</v>
      </c>
      <c r="I2990" s="5">
        <v>0</v>
      </c>
      <c r="J2990" s="4">
        <v>45916.29478009259</v>
      </c>
    </row>
    <row r="2991" spans="1:10" x14ac:dyDescent="0.2">
      <c r="A2991" s="2" t="s">
        <v>10</v>
      </c>
      <c r="B2991" s="3" t="str">
        <f t="shared" si="56"/>
        <v>France - HCP Survey Email - June 2025</v>
      </c>
      <c r="C2991" s="3" t="str">
        <f>HYPERLINK("https://otsuka-europe-crm.veevavault.com/ui/#object/sent_email__v/VBLZ025E82GNPHF", "SE-000274694")</f>
        <v>SE-000274694</v>
      </c>
      <c r="D2991" s="4" t="s">
        <v>11</v>
      </c>
      <c r="E2991" s="5">
        <v>0</v>
      </c>
      <c r="F2991" s="5">
        <v>0</v>
      </c>
      <c r="G2991" s="5">
        <v>0</v>
      </c>
      <c r="H2991" s="4" t="s">
        <v>11</v>
      </c>
      <c r="I2991" s="5">
        <v>0</v>
      </c>
      <c r="J2991" s="4">
        <v>45916.294907407406</v>
      </c>
    </row>
    <row r="2992" spans="1:10" x14ac:dyDescent="0.2">
      <c r="A2992" s="2" t="s">
        <v>10</v>
      </c>
      <c r="B2992" s="3" t="str">
        <f t="shared" si="56"/>
        <v>France - HCP Survey Email - June 2025</v>
      </c>
      <c r="C2992" s="3" t="str">
        <f>HYPERLINK("https://otsuka-europe-crm.veevavault.com/ui/#object/sent_email__v/VBLZ025E82GNPHG", "SE-000274695")</f>
        <v>SE-000274695</v>
      </c>
      <c r="D2992" s="4" t="s">
        <v>11</v>
      </c>
      <c r="E2992" s="5">
        <v>0</v>
      </c>
      <c r="F2992" s="5">
        <v>0</v>
      </c>
      <c r="G2992" s="5">
        <v>0</v>
      </c>
      <c r="H2992" s="4" t="s">
        <v>11</v>
      </c>
      <c r="I2992" s="5">
        <v>0</v>
      </c>
      <c r="J2992" s="4">
        <v>45916.294247685182</v>
      </c>
    </row>
    <row r="2993" spans="1:10" x14ac:dyDescent="0.2">
      <c r="A2993" s="2" t="s">
        <v>10</v>
      </c>
      <c r="B2993" s="3" t="str">
        <f t="shared" si="56"/>
        <v>France - HCP Survey Email - June 2025</v>
      </c>
      <c r="C2993" s="3" t="str">
        <f>HYPERLINK("https://otsuka-europe-crm.veevavault.com/ui/#object/sent_email__v/VBLZ025E82GNPHH", "SE-000274696")</f>
        <v>SE-000274696</v>
      </c>
      <c r="D2993" s="4">
        <v>45916.38003472222</v>
      </c>
      <c r="E2993" s="5">
        <v>1</v>
      </c>
      <c r="F2993" s="5">
        <v>1</v>
      </c>
      <c r="G2993" s="5">
        <v>0</v>
      </c>
      <c r="H2993" s="4" t="s">
        <v>11</v>
      </c>
      <c r="I2993" s="5">
        <v>0</v>
      </c>
      <c r="J2993" s="4">
        <v>45916.294583333336</v>
      </c>
    </row>
    <row r="2994" spans="1:10" x14ac:dyDescent="0.2">
      <c r="A2994" s="2" t="s">
        <v>10</v>
      </c>
      <c r="B2994" s="3" t="str">
        <f t="shared" si="56"/>
        <v>France - HCP Survey Email - June 2025</v>
      </c>
      <c r="C2994" s="3" t="str">
        <f>HYPERLINK("https://otsuka-europe-crm.veevavault.com/ui/#object/sent_email__v/VBLZ025E82GNPHI", "SE-000274697")</f>
        <v>SE-000274697</v>
      </c>
      <c r="D2994" s="4" t="s">
        <v>11</v>
      </c>
      <c r="E2994" s="5">
        <v>0</v>
      </c>
      <c r="F2994" s="5">
        <v>0</v>
      </c>
      <c r="G2994" s="5">
        <v>0</v>
      </c>
      <c r="H2994" s="4" t="s">
        <v>11</v>
      </c>
      <c r="I2994" s="5">
        <v>0</v>
      </c>
      <c r="J2994" s="4">
        <v>45916.29478009259</v>
      </c>
    </row>
    <row r="2995" spans="1:10" x14ac:dyDescent="0.2">
      <c r="A2995" s="2" t="s">
        <v>10</v>
      </c>
      <c r="B2995" s="3" t="str">
        <f t="shared" si="56"/>
        <v>France - HCP Survey Email - June 2025</v>
      </c>
      <c r="C2995" s="3" t="str">
        <f>HYPERLINK("https://otsuka-europe-crm.veevavault.com/ui/#object/sent_email__v/VBLZ025E82GNPHJ", "SE-000274698")</f>
        <v>SE-000274698</v>
      </c>
      <c r="D2995" s="4" t="s">
        <v>11</v>
      </c>
      <c r="E2995" s="5">
        <v>0</v>
      </c>
      <c r="F2995" s="5">
        <v>0</v>
      </c>
      <c r="G2995" s="5">
        <v>0</v>
      </c>
      <c r="H2995" s="4" t="s">
        <v>11</v>
      </c>
      <c r="I2995" s="5">
        <v>0</v>
      </c>
      <c r="J2995" s="4">
        <v>45916.294270833336</v>
      </c>
    </row>
    <row r="2996" spans="1:10" x14ac:dyDescent="0.2">
      <c r="A2996" s="2" t="s">
        <v>10</v>
      </c>
      <c r="B2996" s="3" t="str">
        <f t="shared" si="56"/>
        <v>France - HCP Survey Email - June 2025</v>
      </c>
      <c r="C2996" s="3" t="str">
        <f>HYPERLINK("https://otsuka-europe-crm.veevavault.com/ui/#object/sent_email__v/VBLZ025E82GNPHK", "SE-000274699")</f>
        <v>SE-000274699</v>
      </c>
      <c r="D2996" s="4" t="s">
        <v>11</v>
      </c>
      <c r="E2996" s="5">
        <v>0</v>
      </c>
      <c r="F2996" s="5">
        <v>0</v>
      </c>
      <c r="G2996" s="5">
        <v>0</v>
      </c>
      <c r="H2996" s="4" t="s">
        <v>11</v>
      </c>
      <c r="I2996" s="5">
        <v>0</v>
      </c>
      <c r="J2996" s="4">
        <v>45916.294421296298</v>
      </c>
    </row>
    <row r="2997" spans="1:10" x14ac:dyDescent="0.2">
      <c r="A2997" s="2" t="s">
        <v>10</v>
      </c>
      <c r="B2997" s="3" t="str">
        <f t="shared" si="56"/>
        <v>France - HCP Survey Email - June 2025</v>
      </c>
      <c r="C2997" s="3" t="str">
        <f>HYPERLINK("https://otsuka-europe-crm.veevavault.com/ui/#object/sent_email__v/VBLZ025E82GNPHL", "SE-000274700")</f>
        <v>SE-000274700</v>
      </c>
      <c r="D2997" s="4" t="s">
        <v>11</v>
      </c>
      <c r="E2997" s="5">
        <v>0</v>
      </c>
      <c r="F2997" s="5">
        <v>0</v>
      </c>
      <c r="G2997" s="5">
        <v>0</v>
      </c>
      <c r="H2997" s="4" t="s">
        <v>11</v>
      </c>
      <c r="I2997" s="5">
        <v>0</v>
      </c>
      <c r="J2997" s="4">
        <v>45916.294583333336</v>
      </c>
    </row>
    <row r="2998" spans="1:10" x14ac:dyDescent="0.2">
      <c r="A2998" s="2" t="s">
        <v>10</v>
      </c>
      <c r="B2998" s="3" t="str">
        <f t="shared" si="56"/>
        <v>France - HCP Survey Email - June 2025</v>
      </c>
      <c r="C2998" s="3" t="str">
        <f>HYPERLINK("https://otsuka-europe-crm.veevavault.com/ui/#object/sent_email__v/VBLZ025E82GNPHM", "SE-000274701")</f>
        <v>SE-000274701</v>
      </c>
      <c r="D2998" s="4">
        <v>45962.738738425927</v>
      </c>
      <c r="E2998" s="5">
        <v>1</v>
      </c>
      <c r="F2998" s="5">
        <v>4</v>
      </c>
      <c r="G2998" s="5">
        <v>0</v>
      </c>
      <c r="H2998" s="4" t="s">
        <v>11</v>
      </c>
      <c r="I2998" s="5">
        <v>0</v>
      </c>
      <c r="J2998" s="4">
        <v>45916.294537037036</v>
      </c>
    </row>
    <row r="2999" spans="1:10" x14ac:dyDescent="0.2">
      <c r="A2999" s="2" t="s">
        <v>10</v>
      </c>
      <c r="B2999" s="3" t="str">
        <f t="shared" si="56"/>
        <v>France - HCP Survey Email - June 2025</v>
      </c>
      <c r="C2999" s="3" t="str">
        <f>HYPERLINK("https://otsuka-europe-crm.veevavault.com/ui/#object/sent_email__v/VBLZ025E82GNPHN", "SE-000274702")</f>
        <v>SE-000274702</v>
      </c>
      <c r="D2999" s="4" t="s">
        <v>11</v>
      </c>
      <c r="E2999" s="5">
        <v>0</v>
      </c>
      <c r="F2999" s="5">
        <v>0</v>
      </c>
      <c r="G2999" s="5">
        <v>0</v>
      </c>
      <c r="H2999" s="4" t="s">
        <v>11</v>
      </c>
      <c r="I2999" s="5">
        <v>0</v>
      </c>
      <c r="J2999" s="4">
        <v>45916.29478009259</v>
      </c>
    </row>
    <row r="3000" spans="1:10" x14ac:dyDescent="0.2">
      <c r="A3000" s="2" t="s">
        <v>10</v>
      </c>
      <c r="B3000" s="3" t="str">
        <f t="shared" si="56"/>
        <v>France - HCP Survey Email - June 2025</v>
      </c>
      <c r="C3000" s="3" t="str">
        <f>HYPERLINK("https://otsuka-europe-crm.veevavault.com/ui/#object/sent_email__v/VBLZ025E82GNPHO", "SE-000274703")</f>
        <v>SE-000274703</v>
      </c>
      <c r="D3000" s="4">
        <v>45916.567048611112</v>
      </c>
      <c r="E3000" s="5">
        <v>1</v>
      </c>
      <c r="F3000" s="5">
        <v>1</v>
      </c>
      <c r="G3000" s="5">
        <v>1</v>
      </c>
      <c r="H3000" s="4">
        <v>45916.567048611112</v>
      </c>
      <c r="I3000" s="5">
        <v>1</v>
      </c>
      <c r="J3000" s="4">
        <v>45916.294189814813</v>
      </c>
    </row>
    <row r="3001" spans="1:10" x14ac:dyDescent="0.2">
      <c r="A3001" s="2" t="s">
        <v>10</v>
      </c>
      <c r="B3001" s="3" t="str">
        <f t="shared" si="56"/>
        <v>France - HCP Survey Email - June 2025</v>
      </c>
      <c r="C3001" s="3" t="str">
        <f>HYPERLINK("https://otsuka-europe-crm.veevavault.com/ui/#object/sent_email__v/VBLZ025E82GNPHP", "SE-000274704")</f>
        <v>SE-000274704</v>
      </c>
      <c r="D3001" s="4" t="s">
        <v>11</v>
      </c>
      <c r="E3001" s="5">
        <v>0</v>
      </c>
      <c r="F3001" s="5">
        <v>0</v>
      </c>
      <c r="G3001" s="5">
        <v>0</v>
      </c>
      <c r="H3001" s="4" t="s">
        <v>11</v>
      </c>
      <c r="I3001" s="5">
        <v>0</v>
      </c>
      <c r="J3001" s="4">
        <v>45916.294374999998</v>
      </c>
    </row>
    <row r="3002" spans="1:10" x14ac:dyDescent="0.2">
      <c r="A3002" s="2" t="s">
        <v>10</v>
      </c>
      <c r="B3002" s="3" t="str">
        <f t="shared" si="56"/>
        <v>France - HCP Survey Email - June 2025</v>
      </c>
      <c r="C3002" s="3" t="str">
        <f>HYPERLINK("https://otsuka-europe-crm.veevavault.com/ui/#object/sent_email__v/VBLZ025E82GNPHQ", "SE-000274705")</f>
        <v>SE-000274705</v>
      </c>
      <c r="D3002" s="4" t="s">
        <v>11</v>
      </c>
      <c r="E3002" s="5">
        <v>0</v>
      </c>
      <c r="F3002" s="5">
        <v>0</v>
      </c>
      <c r="G3002" s="5">
        <v>0</v>
      </c>
      <c r="H3002" s="4" t="s">
        <v>11</v>
      </c>
      <c r="I3002" s="5">
        <v>0</v>
      </c>
      <c r="J3002" s="4">
        <v>45916.294583333336</v>
      </c>
    </row>
    <row r="3003" spans="1:10" x14ac:dyDescent="0.2">
      <c r="A3003" s="2" t="s">
        <v>10</v>
      </c>
      <c r="B3003" s="3" t="str">
        <f t="shared" si="56"/>
        <v>France - HCP Survey Email - June 2025</v>
      </c>
      <c r="C3003" s="3" t="str">
        <f>HYPERLINK("https://otsuka-europe-crm.veevavault.com/ui/#object/sent_email__v/VBLZ025E82GNPHR", "SE-000274706")</f>
        <v>SE-000274706</v>
      </c>
      <c r="D3003" s="4" t="s">
        <v>11</v>
      </c>
      <c r="E3003" s="5">
        <v>0</v>
      </c>
      <c r="F3003" s="5">
        <v>0</v>
      </c>
      <c r="G3003" s="5">
        <v>0</v>
      </c>
      <c r="H3003" s="4" t="s">
        <v>11</v>
      </c>
      <c r="I3003" s="5">
        <v>0</v>
      </c>
      <c r="J3003" s="4">
        <v>45916.294907407406</v>
      </c>
    </row>
    <row r="3004" spans="1:10" x14ac:dyDescent="0.2">
      <c r="A3004" s="2" t="s">
        <v>10</v>
      </c>
      <c r="B3004" s="3" t="str">
        <f t="shared" si="56"/>
        <v>France - HCP Survey Email - June 2025</v>
      </c>
      <c r="C3004" s="3" t="str">
        <f>HYPERLINK("https://otsuka-europe-crm.veevavault.com/ui/#object/sent_email__v/VBLZ025E82GNPHS", "SE-000274707")</f>
        <v>SE-000274707</v>
      </c>
      <c r="D3004" s="4">
        <v>45916.321331018517</v>
      </c>
      <c r="E3004" s="5">
        <v>1</v>
      </c>
      <c r="F3004" s="5">
        <v>1</v>
      </c>
      <c r="G3004" s="5">
        <v>0</v>
      </c>
      <c r="H3004" s="4" t="s">
        <v>11</v>
      </c>
      <c r="I3004" s="5">
        <v>0</v>
      </c>
      <c r="J3004" s="4">
        <v>45916.294236111113</v>
      </c>
    </row>
    <row r="3005" spans="1:10" x14ac:dyDescent="0.2">
      <c r="A3005" s="2" t="s">
        <v>10</v>
      </c>
      <c r="B3005" s="3" t="str">
        <f t="shared" si="56"/>
        <v>France - HCP Survey Email - June 2025</v>
      </c>
      <c r="C3005" s="3" t="str">
        <f>HYPERLINK("https://otsuka-europe-crm.veevavault.com/ui/#object/sent_email__v/VBLZ025E82GNPHT", "SE-000274708")</f>
        <v>SE-000274708</v>
      </c>
      <c r="D3005" s="4" t="s">
        <v>11</v>
      </c>
      <c r="E3005" s="5">
        <v>0</v>
      </c>
      <c r="F3005" s="5">
        <v>0</v>
      </c>
      <c r="G3005" s="5">
        <v>0</v>
      </c>
      <c r="H3005" s="4" t="s">
        <v>11</v>
      </c>
      <c r="I3005" s="5">
        <v>0</v>
      </c>
      <c r="J3005" s="4">
        <v>45916.294479166667</v>
      </c>
    </row>
    <row r="3006" spans="1:10" x14ac:dyDescent="0.2">
      <c r="A3006" s="2" t="s">
        <v>10</v>
      </c>
      <c r="B3006" s="3" t="str">
        <f t="shared" si="56"/>
        <v>France - HCP Survey Email - June 2025</v>
      </c>
      <c r="C3006" s="3" t="str">
        <f>HYPERLINK("https://otsuka-europe-crm.veevavault.com/ui/#object/sent_email__v/VBLZ025E82GNPHV", "SE-000274710")</f>
        <v>SE-000274710</v>
      </c>
      <c r="D3006" s="4" t="s">
        <v>11</v>
      </c>
      <c r="E3006" s="5">
        <v>0</v>
      </c>
      <c r="F3006" s="5">
        <v>0</v>
      </c>
      <c r="G3006" s="5">
        <v>0</v>
      </c>
      <c r="H3006" s="4" t="s">
        <v>11</v>
      </c>
      <c r="I3006" s="5">
        <v>0</v>
      </c>
      <c r="J3006" s="4">
        <v>45916.29488425926</v>
      </c>
    </row>
    <row r="3007" spans="1:10" x14ac:dyDescent="0.2">
      <c r="A3007" s="2" t="s">
        <v>10</v>
      </c>
      <c r="B3007" s="3" t="str">
        <f t="shared" si="56"/>
        <v>France - HCP Survey Email - June 2025</v>
      </c>
      <c r="C3007" s="3" t="str">
        <f>HYPERLINK("https://otsuka-europe-crm.veevavault.com/ui/#object/sent_email__v/VBLZ025E82GNPHW", "SE-000274711")</f>
        <v>SE-000274711</v>
      </c>
      <c r="D3007" s="4" t="s">
        <v>11</v>
      </c>
      <c r="E3007" s="5">
        <v>0</v>
      </c>
      <c r="F3007" s="5">
        <v>0</v>
      </c>
      <c r="G3007" s="5">
        <v>0</v>
      </c>
      <c r="H3007" s="4" t="s">
        <v>11</v>
      </c>
      <c r="I3007" s="5">
        <v>0</v>
      </c>
      <c r="J3007" s="4">
        <v>45916.294386574074</v>
      </c>
    </row>
    <row r="3008" spans="1:10" x14ac:dyDescent="0.2">
      <c r="A3008" s="2" t="s">
        <v>10</v>
      </c>
      <c r="B3008" s="3" t="str">
        <f t="shared" si="56"/>
        <v>France - HCP Survey Email - June 2025</v>
      </c>
      <c r="C3008" s="3" t="str">
        <f>HYPERLINK("https://otsuka-europe-crm.veevavault.com/ui/#object/sent_email__v/VBLZ025E82GNPHX", "SE-000274712")</f>
        <v>SE-000274712</v>
      </c>
      <c r="D3008" s="4" t="s">
        <v>11</v>
      </c>
      <c r="E3008" s="5">
        <v>0</v>
      </c>
      <c r="F3008" s="5">
        <v>0</v>
      </c>
      <c r="G3008" s="5">
        <v>0</v>
      </c>
      <c r="H3008" s="4" t="s">
        <v>11</v>
      </c>
      <c r="I3008" s="5">
        <v>0</v>
      </c>
      <c r="J3008" s="4">
        <v>45916.294560185182</v>
      </c>
    </row>
    <row r="3009" spans="1:10" x14ac:dyDescent="0.2">
      <c r="A3009" s="2" t="s">
        <v>10</v>
      </c>
      <c r="B3009" s="3" t="str">
        <f t="shared" ref="B3009:B3072" si="57">HYPERLINK("https://otsuka-europe-crm.veevavault.com/ui/#object/approved_document__v/V5OZ025E82TMV97", "France - HCP Survey Email - June 2025")</f>
        <v>France - HCP Survey Email - June 2025</v>
      </c>
      <c r="C3009" s="3" t="str">
        <f>HYPERLINK("https://otsuka-europe-crm.veevavault.com/ui/#object/sent_email__v/VBLZ025E82GNPHY", "SE-000274713")</f>
        <v>SE-000274713</v>
      </c>
      <c r="D3009" s="4">
        <v>45916.466990740744</v>
      </c>
      <c r="E3009" s="5">
        <v>1</v>
      </c>
      <c r="F3009" s="5">
        <v>1</v>
      </c>
      <c r="G3009" s="5">
        <v>0</v>
      </c>
      <c r="H3009" s="4" t="s">
        <v>11</v>
      </c>
      <c r="I3009" s="5">
        <v>0</v>
      </c>
      <c r="J3009" s="4">
        <v>45916.294814814813</v>
      </c>
    </row>
    <row r="3010" spans="1:10" x14ac:dyDescent="0.2">
      <c r="A3010" s="2" t="s">
        <v>10</v>
      </c>
      <c r="B3010" s="3" t="str">
        <f t="shared" si="57"/>
        <v>France - HCP Survey Email - June 2025</v>
      </c>
      <c r="C3010" s="3" t="str">
        <f>HYPERLINK("https://otsuka-europe-crm.veevavault.com/ui/#object/sent_email__v/VBLZ025E82GNPHZ", "SE-000274714")</f>
        <v>SE-000274714</v>
      </c>
      <c r="D3010" s="4" t="s">
        <v>11</v>
      </c>
      <c r="E3010" s="5">
        <v>0</v>
      </c>
      <c r="F3010" s="5">
        <v>0</v>
      </c>
      <c r="G3010" s="5">
        <v>0</v>
      </c>
      <c r="H3010" s="4" t="s">
        <v>11</v>
      </c>
      <c r="I3010" s="5">
        <v>0</v>
      </c>
      <c r="J3010" s="4">
        <v>45916.294189814813</v>
      </c>
    </row>
    <row r="3011" spans="1:10" x14ac:dyDescent="0.2">
      <c r="A3011" s="2" t="s">
        <v>10</v>
      </c>
      <c r="B3011" s="3" t="str">
        <f t="shared" si="57"/>
        <v>France - HCP Survey Email - June 2025</v>
      </c>
      <c r="C3011" s="3" t="str">
        <f>HYPERLINK("https://otsuka-europe-crm.veevavault.com/ui/#object/sent_email__v/VBLZ025E82GNPI1", "SE-000274716")</f>
        <v>SE-000274716</v>
      </c>
      <c r="D3011" s="4" t="s">
        <v>11</v>
      </c>
      <c r="E3011" s="5">
        <v>0</v>
      </c>
      <c r="F3011" s="5">
        <v>0</v>
      </c>
      <c r="G3011" s="5">
        <v>0</v>
      </c>
      <c r="H3011" s="4" t="s">
        <v>11</v>
      </c>
      <c r="I3011" s="5">
        <v>0</v>
      </c>
      <c r="J3011" s="4">
        <v>45916.294675925928</v>
      </c>
    </row>
    <row r="3012" spans="1:10" x14ac:dyDescent="0.2">
      <c r="A3012" s="2" t="s">
        <v>10</v>
      </c>
      <c r="B3012" s="3" t="str">
        <f t="shared" si="57"/>
        <v>France - HCP Survey Email - June 2025</v>
      </c>
      <c r="C3012" s="3" t="str">
        <f>HYPERLINK("https://otsuka-europe-crm.veevavault.com/ui/#object/sent_email__v/VBLZ025E82GNPI2", "SE-000274717")</f>
        <v>SE-000274717</v>
      </c>
      <c r="D3012" s="4" t="s">
        <v>11</v>
      </c>
      <c r="E3012" s="5">
        <v>0</v>
      </c>
      <c r="F3012" s="5">
        <v>0</v>
      </c>
      <c r="G3012" s="5">
        <v>0</v>
      </c>
      <c r="H3012" s="4" t="s">
        <v>11</v>
      </c>
      <c r="I3012" s="5">
        <v>0</v>
      </c>
      <c r="J3012" s="4">
        <v>45916.294907407406</v>
      </c>
    </row>
    <row r="3013" spans="1:10" x14ac:dyDescent="0.2">
      <c r="A3013" s="2" t="s">
        <v>10</v>
      </c>
      <c r="B3013" s="3" t="str">
        <f t="shared" si="57"/>
        <v>France - HCP Survey Email - June 2025</v>
      </c>
      <c r="C3013" s="3" t="str">
        <f>HYPERLINK("https://otsuka-europe-crm.veevavault.com/ui/#object/sent_email__v/VBLZ025E82GNPI3", "SE-000274718")</f>
        <v>SE-000274718</v>
      </c>
      <c r="D3013" s="4" t="s">
        <v>11</v>
      </c>
      <c r="E3013" s="5">
        <v>0</v>
      </c>
      <c r="F3013" s="5">
        <v>0</v>
      </c>
      <c r="G3013" s="5">
        <v>0</v>
      </c>
      <c r="H3013" s="4" t="s">
        <v>11</v>
      </c>
      <c r="I3013" s="5">
        <v>0</v>
      </c>
      <c r="J3013" s="4">
        <v>45916.294282407405</v>
      </c>
    </row>
    <row r="3014" spans="1:10" x14ac:dyDescent="0.2">
      <c r="A3014" s="2" t="s">
        <v>10</v>
      </c>
      <c r="B3014" s="3" t="str">
        <f t="shared" si="57"/>
        <v>France - HCP Survey Email - June 2025</v>
      </c>
      <c r="C3014" s="3" t="str">
        <f>HYPERLINK("https://otsuka-europe-crm.veevavault.com/ui/#object/sent_email__v/VBLZ025E82GNPI4", "SE-000274719")</f>
        <v>SE-000274719</v>
      </c>
      <c r="D3014" s="4" t="s">
        <v>11</v>
      </c>
      <c r="E3014" s="5">
        <v>0</v>
      </c>
      <c r="F3014" s="5">
        <v>0</v>
      </c>
      <c r="G3014" s="5">
        <v>0</v>
      </c>
      <c r="H3014" s="4" t="s">
        <v>11</v>
      </c>
      <c r="I3014" s="5">
        <v>0</v>
      </c>
      <c r="J3014" s="4">
        <v>45916.294548611113</v>
      </c>
    </row>
    <row r="3015" spans="1:10" x14ac:dyDescent="0.2">
      <c r="A3015" s="2" t="s">
        <v>10</v>
      </c>
      <c r="B3015" s="3" t="str">
        <f t="shared" si="57"/>
        <v>France - HCP Survey Email - June 2025</v>
      </c>
      <c r="C3015" s="3" t="str">
        <f>HYPERLINK("https://otsuka-europe-crm.veevavault.com/ui/#object/sent_email__v/VBLZ025E82GNPI5", "SE-000274720")</f>
        <v>SE-000274720</v>
      </c>
      <c r="D3015" s="4">
        <v>45917.251620370371</v>
      </c>
      <c r="E3015" s="5">
        <v>1</v>
      </c>
      <c r="F3015" s="5">
        <v>1</v>
      </c>
      <c r="G3015" s="5">
        <v>0</v>
      </c>
      <c r="H3015" s="4" t="s">
        <v>11</v>
      </c>
      <c r="I3015" s="5">
        <v>0</v>
      </c>
      <c r="J3015" s="4">
        <v>45916.294756944444</v>
      </c>
    </row>
    <row r="3016" spans="1:10" x14ac:dyDescent="0.2">
      <c r="A3016" s="2" t="s">
        <v>10</v>
      </c>
      <c r="B3016" s="3" t="str">
        <f t="shared" si="57"/>
        <v>France - HCP Survey Email - June 2025</v>
      </c>
      <c r="C3016" s="3" t="str">
        <f>HYPERLINK("https://otsuka-europe-crm.veevavault.com/ui/#object/sent_email__v/VBLZ025E82GNPI6", "SE-000274721")</f>
        <v>SE-000274721</v>
      </c>
      <c r="D3016" s="4" t="s">
        <v>11</v>
      </c>
      <c r="E3016" s="5">
        <v>0</v>
      </c>
      <c r="F3016" s="5">
        <v>0</v>
      </c>
      <c r="G3016" s="5">
        <v>0</v>
      </c>
      <c r="H3016" s="4" t="s">
        <v>11</v>
      </c>
      <c r="I3016" s="5">
        <v>0</v>
      </c>
      <c r="J3016" s="4">
        <v>45916.294907407406</v>
      </c>
    </row>
    <row r="3017" spans="1:10" x14ac:dyDescent="0.2">
      <c r="A3017" s="2" t="s">
        <v>10</v>
      </c>
      <c r="B3017" s="3" t="str">
        <f t="shared" si="57"/>
        <v>France - HCP Survey Email - June 2025</v>
      </c>
      <c r="C3017" s="3" t="str">
        <f>HYPERLINK("https://otsuka-europe-crm.veevavault.com/ui/#object/sent_email__v/VBLZ025E82GNPI7", "SE-000274722")</f>
        <v>SE-000274722</v>
      </c>
      <c r="D3017" s="4" t="s">
        <v>11</v>
      </c>
      <c r="E3017" s="5">
        <v>0</v>
      </c>
      <c r="F3017" s="5">
        <v>0</v>
      </c>
      <c r="G3017" s="5">
        <v>0</v>
      </c>
      <c r="H3017" s="4" t="s">
        <v>11</v>
      </c>
      <c r="I3017" s="5">
        <v>0</v>
      </c>
      <c r="J3017" s="4">
        <v>45916.294317129628</v>
      </c>
    </row>
    <row r="3018" spans="1:10" x14ac:dyDescent="0.2">
      <c r="A3018" s="2" t="s">
        <v>10</v>
      </c>
      <c r="B3018" s="3" t="str">
        <f t="shared" si="57"/>
        <v>France - HCP Survey Email - June 2025</v>
      </c>
      <c r="C3018" s="3" t="str">
        <f>HYPERLINK("https://otsuka-europe-crm.veevavault.com/ui/#object/sent_email__v/VBLZ025E82GNPI8", "SE-000274723")</f>
        <v>SE-000274723</v>
      </c>
      <c r="D3018" s="4" t="s">
        <v>11</v>
      </c>
      <c r="E3018" s="5">
        <v>0</v>
      </c>
      <c r="F3018" s="5">
        <v>0</v>
      </c>
      <c r="G3018" s="5">
        <v>0</v>
      </c>
      <c r="H3018" s="4" t="s">
        <v>11</v>
      </c>
      <c r="I3018" s="5">
        <v>0</v>
      </c>
      <c r="J3018" s="4">
        <v>45916.294571759259</v>
      </c>
    </row>
    <row r="3019" spans="1:10" x14ac:dyDescent="0.2">
      <c r="A3019" s="2" t="s">
        <v>10</v>
      </c>
      <c r="B3019" s="3" t="str">
        <f t="shared" si="57"/>
        <v>France - HCP Survey Email - June 2025</v>
      </c>
      <c r="C3019" s="3" t="str">
        <f>HYPERLINK("https://otsuka-europe-crm.veevavault.com/ui/#object/sent_email__v/VBLZ025E82GNPI9", "SE-000274724")</f>
        <v>SE-000274724</v>
      </c>
      <c r="D3019" s="4" t="s">
        <v>11</v>
      </c>
      <c r="E3019" s="5">
        <v>0</v>
      </c>
      <c r="F3019" s="5">
        <v>0</v>
      </c>
      <c r="G3019" s="5">
        <v>0</v>
      </c>
      <c r="H3019" s="4" t="s">
        <v>11</v>
      </c>
      <c r="I3019" s="5">
        <v>0</v>
      </c>
      <c r="J3019" s="4">
        <v>45916.294733796298</v>
      </c>
    </row>
    <row r="3020" spans="1:10" x14ac:dyDescent="0.2">
      <c r="A3020" s="2" t="s">
        <v>10</v>
      </c>
      <c r="B3020" s="3" t="str">
        <f t="shared" si="57"/>
        <v>France - HCP Survey Email - June 2025</v>
      </c>
      <c r="C3020" s="3" t="str">
        <f>HYPERLINK("https://otsuka-europe-crm.veevavault.com/ui/#object/sent_email__v/VBLZ025E82GNPIA", "SE-000274725")</f>
        <v>SE-000274725</v>
      </c>
      <c r="D3020" s="4" t="s">
        <v>11</v>
      </c>
      <c r="E3020" s="5">
        <v>0</v>
      </c>
      <c r="F3020" s="5">
        <v>0</v>
      </c>
      <c r="G3020" s="5">
        <v>0</v>
      </c>
      <c r="H3020" s="4" t="s">
        <v>11</v>
      </c>
      <c r="I3020" s="5">
        <v>0</v>
      </c>
      <c r="J3020" s="4">
        <v>45916.294259259259</v>
      </c>
    </row>
    <row r="3021" spans="1:10" x14ac:dyDescent="0.2">
      <c r="A3021" s="2" t="s">
        <v>10</v>
      </c>
      <c r="B3021" s="3" t="str">
        <f t="shared" si="57"/>
        <v>France - HCP Survey Email - June 2025</v>
      </c>
      <c r="C3021" s="3" t="str">
        <f>HYPERLINK("https://otsuka-europe-crm.veevavault.com/ui/#object/sent_email__v/VBLZ025E82GNPIB", "SE-000274726")</f>
        <v>SE-000274726</v>
      </c>
      <c r="D3021" s="4" t="s">
        <v>11</v>
      </c>
      <c r="E3021" s="5">
        <v>0</v>
      </c>
      <c r="F3021" s="5">
        <v>0</v>
      </c>
      <c r="G3021" s="5">
        <v>0</v>
      </c>
      <c r="H3021" s="4" t="s">
        <v>11</v>
      </c>
      <c r="I3021" s="5">
        <v>0</v>
      </c>
      <c r="J3021" s="4">
        <v>45916.294409722221</v>
      </c>
    </row>
    <row r="3022" spans="1:10" x14ac:dyDescent="0.2">
      <c r="A3022" s="2" t="s">
        <v>10</v>
      </c>
      <c r="B3022" s="3" t="str">
        <f t="shared" si="57"/>
        <v>France - HCP Survey Email - June 2025</v>
      </c>
      <c r="C3022" s="3" t="str">
        <f>HYPERLINK("https://otsuka-europe-crm.veevavault.com/ui/#object/sent_email__v/VBLZ025E82GNPIC", "SE-000274727")</f>
        <v>SE-000274727</v>
      </c>
      <c r="D3022" s="4">
        <v>45916.353506944448</v>
      </c>
      <c r="E3022" s="5">
        <v>1</v>
      </c>
      <c r="F3022" s="5">
        <v>1</v>
      </c>
      <c r="G3022" s="5">
        <v>0</v>
      </c>
      <c r="H3022" s="4" t="s">
        <v>11</v>
      </c>
      <c r="I3022" s="5">
        <v>0</v>
      </c>
      <c r="J3022" s="4">
        <v>45916.294537037036</v>
      </c>
    </row>
    <row r="3023" spans="1:10" x14ac:dyDescent="0.2">
      <c r="A3023" s="2" t="s">
        <v>10</v>
      </c>
      <c r="B3023" s="3" t="str">
        <f t="shared" si="57"/>
        <v>France - HCP Survey Email - June 2025</v>
      </c>
      <c r="C3023" s="3" t="str">
        <f>HYPERLINK("https://otsuka-europe-crm.veevavault.com/ui/#object/sent_email__v/VBLZ025E82GNPID", "SE-000274728")</f>
        <v>SE-000274728</v>
      </c>
      <c r="D3023" s="4" t="s">
        <v>11</v>
      </c>
      <c r="E3023" s="5">
        <v>0</v>
      </c>
      <c r="F3023" s="5">
        <v>0</v>
      </c>
      <c r="G3023" s="5">
        <v>0</v>
      </c>
      <c r="H3023" s="4" t="s">
        <v>11</v>
      </c>
      <c r="I3023" s="5">
        <v>0</v>
      </c>
      <c r="J3023" s="4">
        <v>45916.294849537036</v>
      </c>
    </row>
    <row r="3024" spans="1:10" x14ac:dyDescent="0.2">
      <c r="A3024" s="2" t="s">
        <v>10</v>
      </c>
      <c r="B3024" s="3" t="str">
        <f t="shared" si="57"/>
        <v>France - HCP Survey Email - June 2025</v>
      </c>
      <c r="C3024" s="3" t="str">
        <f>HYPERLINK("https://otsuka-europe-crm.veevavault.com/ui/#object/sent_email__v/VBLZ025E82GNPIE", "SE-000274729")</f>
        <v>SE-000274729</v>
      </c>
      <c r="D3024" s="4" t="s">
        <v>11</v>
      </c>
      <c r="E3024" s="5">
        <v>0</v>
      </c>
      <c r="F3024" s="5">
        <v>0</v>
      </c>
      <c r="G3024" s="5">
        <v>0</v>
      </c>
      <c r="H3024" s="4" t="s">
        <v>11</v>
      </c>
      <c r="I3024" s="5">
        <v>0</v>
      </c>
      <c r="J3024" s="4">
        <v>45916.294270833336</v>
      </c>
    </row>
    <row r="3025" spans="1:10" x14ac:dyDescent="0.2">
      <c r="A3025" s="2" t="s">
        <v>10</v>
      </c>
      <c r="B3025" s="3" t="str">
        <f t="shared" si="57"/>
        <v>France - HCP Survey Email - June 2025</v>
      </c>
      <c r="C3025" s="3" t="str">
        <f>HYPERLINK("https://otsuka-europe-crm.veevavault.com/ui/#object/sent_email__v/VBLZ025E82GNPIF", "SE-000274730")</f>
        <v>SE-000274730</v>
      </c>
      <c r="D3025" s="4" t="s">
        <v>11</v>
      </c>
      <c r="E3025" s="5">
        <v>0</v>
      </c>
      <c r="F3025" s="5">
        <v>0</v>
      </c>
      <c r="G3025" s="5">
        <v>0</v>
      </c>
      <c r="H3025" s="4" t="s">
        <v>11</v>
      </c>
      <c r="I3025" s="5">
        <v>0</v>
      </c>
      <c r="J3025" s="4">
        <v>45916.294479166667</v>
      </c>
    </row>
    <row r="3026" spans="1:10" x14ac:dyDescent="0.2">
      <c r="A3026" s="2" t="s">
        <v>10</v>
      </c>
      <c r="B3026" s="3" t="str">
        <f t="shared" si="57"/>
        <v>France - HCP Survey Email - June 2025</v>
      </c>
      <c r="C3026" s="3" t="str">
        <f>HYPERLINK("https://otsuka-europe-crm.veevavault.com/ui/#object/sent_email__v/VBLZ025E82GNPIG", "SE-000274731")</f>
        <v>SE-000274731</v>
      </c>
      <c r="D3026" s="4" t="s">
        <v>11</v>
      </c>
      <c r="E3026" s="5">
        <v>0</v>
      </c>
      <c r="F3026" s="5">
        <v>0</v>
      </c>
      <c r="G3026" s="5">
        <v>0</v>
      </c>
      <c r="H3026" s="4" t="s">
        <v>11</v>
      </c>
      <c r="I3026" s="5">
        <v>0</v>
      </c>
      <c r="J3026" s="4">
        <v>45916.294699074075</v>
      </c>
    </row>
    <row r="3027" spans="1:10" x14ac:dyDescent="0.2">
      <c r="A3027" s="2" t="s">
        <v>10</v>
      </c>
      <c r="B3027" s="3" t="str">
        <f t="shared" si="57"/>
        <v>France - HCP Survey Email - June 2025</v>
      </c>
      <c r="C3027" s="3" t="str">
        <f>HYPERLINK("https://otsuka-europe-crm.veevavault.com/ui/#object/sent_email__v/VBLZ025E82GNPIH", "SE-000274732")</f>
        <v>SE-000274732</v>
      </c>
      <c r="D3027" s="4" t="s">
        <v>11</v>
      </c>
      <c r="E3027" s="5">
        <v>0</v>
      </c>
      <c r="F3027" s="5">
        <v>0</v>
      </c>
      <c r="G3027" s="5">
        <v>0</v>
      </c>
      <c r="H3027" s="4" t="s">
        <v>11</v>
      </c>
      <c r="I3027" s="5">
        <v>0</v>
      </c>
      <c r="J3027" s="4">
        <v>45916.294895833336</v>
      </c>
    </row>
    <row r="3028" spans="1:10" x14ac:dyDescent="0.2">
      <c r="A3028" s="2" t="s">
        <v>10</v>
      </c>
      <c r="B3028" s="3" t="str">
        <f t="shared" si="57"/>
        <v>France - HCP Survey Email - June 2025</v>
      </c>
      <c r="C3028" s="3" t="str">
        <f>HYPERLINK("https://otsuka-europe-crm.veevavault.com/ui/#object/sent_email__v/VBLZ025E82GNPII", "SE-000274733")</f>
        <v>SE-000274733</v>
      </c>
      <c r="D3028" s="4">
        <v>45916.605706018519</v>
      </c>
      <c r="E3028" s="5">
        <v>1</v>
      </c>
      <c r="F3028" s="5">
        <v>1</v>
      </c>
      <c r="G3028" s="5">
        <v>0</v>
      </c>
      <c r="H3028" s="4" t="s">
        <v>11</v>
      </c>
      <c r="I3028" s="5">
        <v>0</v>
      </c>
      <c r="J3028" s="4">
        <v>45916.294305555559</v>
      </c>
    </row>
    <row r="3029" spans="1:10" x14ac:dyDescent="0.2">
      <c r="A3029" s="2" t="s">
        <v>10</v>
      </c>
      <c r="B3029" s="3" t="str">
        <f t="shared" si="57"/>
        <v>France - HCP Survey Email - June 2025</v>
      </c>
      <c r="C3029" s="3" t="str">
        <f>HYPERLINK("https://otsuka-europe-crm.veevavault.com/ui/#object/sent_email__v/VBLZ025E82GNPIJ", "SE-000274734")</f>
        <v>SE-000274734</v>
      </c>
      <c r="D3029" s="4" t="s">
        <v>11</v>
      </c>
      <c r="E3029" s="5">
        <v>0</v>
      </c>
      <c r="F3029" s="5">
        <v>0</v>
      </c>
      <c r="G3029" s="5">
        <v>0</v>
      </c>
      <c r="H3029" s="4" t="s">
        <v>11</v>
      </c>
      <c r="I3029" s="5">
        <v>0</v>
      </c>
      <c r="J3029" s="4">
        <v>45916.294594907406</v>
      </c>
    </row>
    <row r="3030" spans="1:10" x14ac:dyDescent="0.2">
      <c r="A3030" s="2" t="s">
        <v>10</v>
      </c>
      <c r="B3030" s="3" t="str">
        <f t="shared" si="57"/>
        <v>France - HCP Survey Email - June 2025</v>
      </c>
      <c r="C3030" s="3" t="str">
        <f>HYPERLINK("https://otsuka-europe-crm.veevavault.com/ui/#object/sent_email__v/VBLZ025E82GNPIK", "SE-000274735")</f>
        <v>SE-000274735</v>
      </c>
      <c r="D3030" s="4" t="s">
        <v>11</v>
      </c>
      <c r="E3030" s="5">
        <v>0</v>
      </c>
      <c r="F3030" s="5">
        <v>0</v>
      </c>
      <c r="G3030" s="5">
        <v>0</v>
      </c>
      <c r="H3030" s="4" t="s">
        <v>11</v>
      </c>
      <c r="I3030" s="5">
        <v>0</v>
      </c>
      <c r="J3030" s="4">
        <v>45916.294699074075</v>
      </c>
    </row>
    <row r="3031" spans="1:10" x14ac:dyDescent="0.2">
      <c r="A3031" s="2" t="s">
        <v>10</v>
      </c>
      <c r="B3031" s="3" t="str">
        <f t="shared" si="57"/>
        <v>France - HCP Survey Email - June 2025</v>
      </c>
      <c r="C3031" s="3" t="str">
        <f>HYPERLINK("https://otsuka-europe-crm.veevavault.com/ui/#object/sent_email__v/VBLZ025E82GNPIL", "SE-000274736")</f>
        <v>SE-000274736</v>
      </c>
      <c r="D3031" s="4" t="s">
        <v>11</v>
      </c>
      <c r="E3031" s="5">
        <v>0</v>
      </c>
      <c r="F3031" s="5">
        <v>0</v>
      </c>
      <c r="G3031" s="5">
        <v>0</v>
      </c>
      <c r="H3031" s="4" t="s">
        <v>11</v>
      </c>
      <c r="I3031" s="5">
        <v>0</v>
      </c>
      <c r="J3031" s="4">
        <v>45916.294942129629</v>
      </c>
    </row>
    <row r="3032" spans="1:10" x14ac:dyDescent="0.2">
      <c r="A3032" s="2" t="s">
        <v>10</v>
      </c>
      <c r="B3032" s="3" t="str">
        <f t="shared" si="57"/>
        <v>France - HCP Survey Email - June 2025</v>
      </c>
      <c r="C3032" s="3" t="str">
        <f>HYPERLINK("https://otsuka-europe-crm.veevavault.com/ui/#object/sent_email__v/VBLZ025E82GNPIM", "SE-000274737")</f>
        <v>SE-000274737</v>
      </c>
      <c r="D3032" s="4" t="s">
        <v>11</v>
      </c>
      <c r="E3032" s="5">
        <v>0</v>
      </c>
      <c r="F3032" s="5">
        <v>0</v>
      </c>
      <c r="G3032" s="5">
        <v>0</v>
      </c>
      <c r="H3032" s="4" t="s">
        <v>11</v>
      </c>
      <c r="I3032" s="5">
        <v>0</v>
      </c>
      <c r="J3032" s="4">
        <v>45916.294374999998</v>
      </c>
    </row>
    <row r="3033" spans="1:10" x14ac:dyDescent="0.2">
      <c r="A3033" s="2" t="s">
        <v>10</v>
      </c>
      <c r="B3033" s="3" t="str">
        <f t="shared" si="57"/>
        <v>France - HCP Survey Email - June 2025</v>
      </c>
      <c r="C3033" s="3" t="str">
        <f>HYPERLINK("https://otsuka-europe-crm.veevavault.com/ui/#object/sent_email__v/VBLZ025E82GNPIN", "SE-000274738")</f>
        <v>SE-000274738</v>
      </c>
      <c r="D3033" s="4">
        <v>45917.40179398148</v>
      </c>
      <c r="E3033" s="5">
        <v>1</v>
      </c>
      <c r="F3033" s="5">
        <v>1</v>
      </c>
      <c r="G3033" s="5">
        <v>1</v>
      </c>
      <c r="H3033" s="4">
        <v>45917.40179398148</v>
      </c>
      <c r="I3033" s="5">
        <v>1</v>
      </c>
      <c r="J3033" s="4">
        <v>45916.294594907406</v>
      </c>
    </row>
    <row r="3034" spans="1:10" x14ac:dyDescent="0.2">
      <c r="A3034" s="2" t="s">
        <v>10</v>
      </c>
      <c r="B3034" s="3" t="str">
        <f t="shared" si="57"/>
        <v>France - HCP Survey Email - June 2025</v>
      </c>
      <c r="C3034" s="3" t="str">
        <f>HYPERLINK("https://otsuka-europe-crm.veevavault.com/ui/#object/sent_email__v/VBLZ025E82GNPIO", "SE-000274739")</f>
        <v>SE-000274739</v>
      </c>
      <c r="D3034" s="4" t="s">
        <v>11</v>
      </c>
      <c r="E3034" s="5">
        <v>0</v>
      </c>
      <c r="F3034" s="5">
        <v>0</v>
      </c>
      <c r="G3034" s="5">
        <v>0</v>
      </c>
      <c r="H3034" s="4" t="s">
        <v>11</v>
      </c>
      <c r="I3034" s="5">
        <v>0</v>
      </c>
      <c r="J3034" s="4">
        <v>45916.294814814813</v>
      </c>
    </row>
    <row r="3035" spans="1:10" x14ac:dyDescent="0.2">
      <c r="A3035" s="2" t="s">
        <v>10</v>
      </c>
      <c r="B3035" s="3" t="str">
        <f t="shared" si="57"/>
        <v>France - HCP Survey Email - June 2025</v>
      </c>
      <c r="C3035" s="3" t="str">
        <f>HYPERLINK("https://otsuka-europe-crm.veevavault.com/ui/#object/sent_email__v/VBLZ025E82GNPIP", "SE-000274740")</f>
        <v>SE-000274740</v>
      </c>
      <c r="D3035" s="4">
        <v>45916.885949074072</v>
      </c>
      <c r="E3035" s="5">
        <v>1</v>
      </c>
      <c r="F3035" s="5">
        <v>1</v>
      </c>
      <c r="G3035" s="5">
        <v>0</v>
      </c>
      <c r="H3035" s="4" t="s">
        <v>11</v>
      </c>
      <c r="I3035" s="5">
        <v>0</v>
      </c>
      <c r="J3035" s="4">
        <v>45916.294189814813</v>
      </c>
    </row>
    <row r="3036" spans="1:10" x14ac:dyDescent="0.2">
      <c r="A3036" s="2" t="s">
        <v>10</v>
      </c>
      <c r="B3036" s="3" t="str">
        <f t="shared" si="57"/>
        <v>France - HCP Survey Email - June 2025</v>
      </c>
      <c r="C3036" s="3" t="str">
        <f>HYPERLINK("https://otsuka-europe-crm.veevavault.com/ui/#object/sent_email__v/VBLZ025E82GNPIQ", "SE-000274741")</f>
        <v>SE-000274741</v>
      </c>
      <c r="D3036" s="4">
        <v>45917.750625000001</v>
      </c>
      <c r="E3036" s="5">
        <v>1</v>
      </c>
      <c r="F3036" s="5">
        <v>2</v>
      </c>
      <c r="G3036" s="5">
        <v>0</v>
      </c>
      <c r="H3036" s="4" t="s">
        <v>11</v>
      </c>
      <c r="I3036" s="5">
        <v>0</v>
      </c>
      <c r="J3036" s="4">
        <v>45916.294386574074</v>
      </c>
    </row>
    <row r="3037" spans="1:10" x14ac:dyDescent="0.2">
      <c r="A3037" s="2" t="s">
        <v>10</v>
      </c>
      <c r="B3037" s="3" t="str">
        <f t="shared" si="57"/>
        <v>France - HCP Survey Email - June 2025</v>
      </c>
      <c r="C3037" s="3" t="str">
        <f>HYPERLINK("https://otsuka-europe-crm.veevavault.com/ui/#object/sent_email__v/VBLZ025E82GNPIR", "SE-000274742")</f>
        <v>SE-000274742</v>
      </c>
      <c r="D3037" s="4" t="s">
        <v>11</v>
      </c>
      <c r="E3037" s="5">
        <v>0</v>
      </c>
      <c r="F3037" s="5">
        <v>0</v>
      </c>
      <c r="G3037" s="5">
        <v>0</v>
      </c>
      <c r="H3037" s="4" t="s">
        <v>11</v>
      </c>
      <c r="I3037" s="5">
        <v>0</v>
      </c>
      <c r="J3037" s="4">
        <v>45916.294571759259</v>
      </c>
    </row>
    <row r="3038" spans="1:10" x14ac:dyDescent="0.2">
      <c r="A3038" s="2" t="s">
        <v>10</v>
      </c>
      <c r="B3038" s="3" t="str">
        <f t="shared" si="57"/>
        <v>France - HCP Survey Email - June 2025</v>
      </c>
      <c r="C3038" s="3" t="str">
        <f>HYPERLINK("https://otsuka-europe-crm.veevavault.com/ui/#object/sent_email__v/VBLZ025E82GNPIS", "SE-000274743")</f>
        <v>SE-000274743</v>
      </c>
      <c r="D3038" s="4">
        <v>45916.353842592594</v>
      </c>
      <c r="E3038" s="5">
        <v>1</v>
      </c>
      <c r="F3038" s="5">
        <v>2</v>
      </c>
      <c r="G3038" s="5">
        <v>0</v>
      </c>
      <c r="H3038" s="4" t="s">
        <v>11</v>
      </c>
      <c r="I3038" s="5">
        <v>0</v>
      </c>
      <c r="J3038" s="4">
        <v>45916.29483796296</v>
      </c>
    </row>
    <row r="3039" spans="1:10" x14ac:dyDescent="0.2">
      <c r="A3039" s="2" t="s">
        <v>10</v>
      </c>
      <c r="B3039" s="3" t="str">
        <f t="shared" si="57"/>
        <v>France - HCP Survey Email - June 2025</v>
      </c>
      <c r="C3039" s="3" t="str">
        <f>HYPERLINK("https://otsuka-europe-crm.veevavault.com/ui/#object/sent_email__v/VBLZ025E82GNPIT", "SE-000274744")</f>
        <v>SE-000274744</v>
      </c>
      <c r="D3039" s="4" t="s">
        <v>11</v>
      </c>
      <c r="E3039" s="5">
        <v>0</v>
      </c>
      <c r="F3039" s="5">
        <v>0</v>
      </c>
      <c r="G3039" s="5">
        <v>0</v>
      </c>
      <c r="H3039" s="4" t="s">
        <v>11</v>
      </c>
      <c r="I3039" s="5">
        <v>0</v>
      </c>
      <c r="J3039" s="4">
        <v>45916.294247685182</v>
      </c>
    </row>
    <row r="3040" spans="1:10" x14ac:dyDescent="0.2">
      <c r="A3040" s="2" t="s">
        <v>10</v>
      </c>
      <c r="B3040" s="3" t="str">
        <f t="shared" si="57"/>
        <v>France - HCP Survey Email - June 2025</v>
      </c>
      <c r="C3040" s="3" t="str">
        <f>HYPERLINK("https://otsuka-europe-crm.veevavault.com/ui/#object/sent_email__v/VBLZ025E82GNPIU", "SE-000274745")</f>
        <v>SE-000274745</v>
      </c>
      <c r="D3040" s="4" t="s">
        <v>11</v>
      </c>
      <c r="E3040" s="5">
        <v>0</v>
      </c>
      <c r="F3040" s="5">
        <v>0</v>
      </c>
      <c r="G3040" s="5">
        <v>0</v>
      </c>
      <c r="H3040" s="4" t="s">
        <v>11</v>
      </c>
      <c r="I3040" s="5">
        <v>0</v>
      </c>
      <c r="J3040" s="4">
        <v>45916.294386574074</v>
      </c>
    </row>
    <row r="3041" spans="1:10" x14ac:dyDescent="0.2">
      <c r="A3041" s="2" t="s">
        <v>10</v>
      </c>
      <c r="B3041" s="3" t="str">
        <f t="shared" si="57"/>
        <v>France - HCP Survey Email - June 2025</v>
      </c>
      <c r="C3041" s="3" t="str">
        <f>HYPERLINK("https://otsuka-europe-crm.veevavault.com/ui/#object/sent_email__v/VBLZ025E82GNPIV", "SE-000274746")</f>
        <v>SE-000274746</v>
      </c>
      <c r="D3041" s="4" t="s">
        <v>11</v>
      </c>
      <c r="E3041" s="5">
        <v>0</v>
      </c>
      <c r="F3041" s="5">
        <v>0</v>
      </c>
      <c r="G3041" s="5">
        <v>0</v>
      </c>
      <c r="H3041" s="4" t="s">
        <v>11</v>
      </c>
      <c r="I3041" s="5">
        <v>0</v>
      </c>
      <c r="J3041" s="4">
        <v>45916.294733796298</v>
      </c>
    </row>
    <row r="3042" spans="1:10" x14ac:dyDescent="0.2">
      <c r="A3042" s="2" t="s">
        <v>10</v>
      </c>
      <c r="B3042" s="3" t="str">
        <f t="shared" si="57"/>
        <v>France - HCP Survey Email - June 2025</v>
      </c>
      <c r="C3042" s="3" t="str">
        <f>HYPERLINK("https://otsuka-europe-crm.veevavault.com/ui/#object/sent_email__v/VBLZ025E82GNPIW", "SE-000274747")</f>
        <v>SE-000274747</v>
      </c>
      <c r="D3042" s="4" t="s">
        <v>11</v>
      </c>
      <c r="E3042" s="5">
        <v>0</v>
      </c>
      <c r="F3042" s="5">
        <v>0</v>
      </c>
      <c r="G3042" s="5">
        <v>0</v>
      </c>
      <c r="H3042" s="4" t="s">
        <v>11</v>
      </c>
      <c r="I3042" s="5">
        <v>0</v>
      </c>
      <c r="J3042" s="4">
        <v>45916.294942129629</v>
      </c>
    </row>
    <row r="3043" spans="1:10" x14ac:dyDescent="0.2">
      <c r="A3043" s="2" t="s">
        <v>10</v>
      </c>
      <c r="B3043" s="3" t="str">
        <f t="shared" si="57"/>
        <v>France - HCP Survey Email - June 2025</v>
      </c>
      <c r="C3043" s="3" t="str">
        <f>HYPERLINK("https://otsuka-europe-crm.veevavault.com/ui/#object/sent_email__v/VBLZ025E82GNPIX", "SE-000274748")</f>
        <v>SE-000274748</v>
      </c>
      <c r="D3043" s="4" t="s">
        <v>11</v>
      </c>
      <c r="E3043" s="5">
        <v>0</v>
      </c>
      <c r="F3043" s="5">
        <v>0</v>
      </c>
      <c r="G3043" s="5">
        <v>0</v>
      </c>
      <c r="H3043" s="4" t="s">
        <v>11</v>
      </c>
      <c r="I3043" s="5">
        <v>0</v>
      </c>
      <c r="J3043" s="4">
        <v>45916.294363425928</v>
      </c>
    </row>
    <row r="3044" spans="1:10" x14ac:dyDescent="0.2">
      <c r="A3044" s="2" t="s">
        <v>10</v>
      </c>
      <c r="B3044" s="3" t="str">
        <f t="shared" si="57"/>
        <v>France - HCP Survey Email - June 2025</v>
      </c>
      <c r="C3044" s="3" t="str">
        <f>HYPERLINK("https://otsuka-europe-crm.veevavault.com/ui/#object/sent_email__v/VBLZ025E82GNPIY", "SE-000274749")</f>
        <v>SE-000274749</v>
      </c>
      <c r="D3044" s="4" t="s">
        <v>11</v>
      </c>
      <c r="E3044" s="5">
        <v>0</v>
      </c>
      <c r="F3044" s="5">
        <v>0</v>
      </c>
      <c r="G3044" s="5">
        <v>0</v>
      </c>
      <c r="H3044" s="4" t="s">
        <v>11</v>
      </c>
      <c r="I3044" s="5">
        <v>0</v>
      </c>
      <c r="J3044" s="4">
        <v>45916.294594907406</v>
      </c>
    </row>
    <row r="3045" spans="1:10" x14ac:dyDescent="0.2">
      <c r="A3045" s="2" t="s">
        <v>10</v>
      </c>
      <c r="B3045" s="3" t="str">
        <f t="shared" si="57"/>
        <v>France - HCP Survey Email - June 2025</v>
      </c>
      <c r="C3045" s="3" t="str">
        <f>HYPERLINK("https://otsuka-europe-crm.veevavault.com/ui/#object/sent_email__v/VBLZ025E82GNPIZ", "SE-000274750")</f>
        <v>SE-000274750</v>
      </c>
      <c r="D3045" s="4" t="s">
        <v>11</v>
      </c>
      <c r="E3045" s="5">
        <v>0</v>
      </c>
      <c r="F3045" s="5">
        <v>0</v>
      </c>
      <c r="G3045" s="5">
        <v>0</v>
      </c>
      <c r="H3045" s="4" t="s">
        <v>11</v>
      </c>
      <c r="I3045" s="5">
        <v>0</v>
      </c>
      <c r="J3045" s="4">
        <v>45916.294756944444</v>
      </c>
    </row>
    <row r="3046" spans="1:10" x14ac:dyDescent="0.2">
      <c r="A3046" s="2" t="s">
        <v>10</v>
      </c>
      <c r="B3046" s="3" t="str">
        <f t="shared" si="57"/>
        <v>France - HCP Survey Email - June 2025</v>
      </c>
      <c r="C3046" s="3" t="str">
        <f>HYPERLINK("https://otsuka-europe-crm.veevavault.com/ui/#object/sent_email__v/VBLZ025E82GNPJ0", "SE-000274751")</f>
        <v>SE-000274751</v>
      </c>
      <c r="D3046" s="4">
        <v>45916.29991898148</v>
      </c>
      <c r="E3046" s="5">
        <v>1</v>
      </c>
      <c r="F3046" s="5">
        <v>1</v>
      </c>
      <c r="G3046" s="5">
        <v>1</v>
      </c>
      <c r="H3046" s="4">
        <v>45916.300150462965</v>
      </c>
      <c r="I3046" s="5">
        <v>1</v>
      </c>
      <c r="J3046" s="4">
        <v>45916.294189814813</v>
      </c>
    </row>
    <row r="3047" spans="1:10" x14ac:dyDescent="0.2">
      <c r="A3047" s="2" t="s">
        <v>10</v>
      </c>
      <c r="B3047" s="3" t="str">
        <f t="shared" si="57"/>
        <v>France - HCP Survey Email - June 2025</v>
      </c>
      <c r="C3047" s="3" t="str">
        <f>HYPERLINK("https://otsuka-europe-crm.veevavault.com/ui/#object/sent_email__v/VBLZ025E82GNPJ1", "SE-000274752")</f>
        <v>SE-000274752</v>
      </c>
      <c r="D3047" s="4">
        <v>45919.443888888891</v>
      </c>
      <c r="E3047" s="5">
        <v>1</v>
      </c>
      <c r="F3047" s="5">
        <v>2</v>
      </c>
      <c r="G3047" s="5">
        <v>0</v>
      </c>
      <c r="H3047" s="4" t="s">
        <v>11</v>
      </c>
      <c r="I3047" s="5">
        <v>0</v>
      </c>
      <c r="J3047" s="4">
        <v>45916.294351851851</v>
      </c>
    </row>
    <row r="3048" spans="1:10" x14ac:dyDescent="0.2">
      <c r="A3048" s="2" t="s">
        <v>10</v>
      </c>
      <c r="B3048" s="3" t="str">
        <f t="shared" si="57"/>
        <v>France - HCP Survey Email - June 2025</v>
      </c>
      <c r="C3048" s="3" t="str">
        <f>HYPERLINK("https://otsuka-europe-crm.veevavault.com/ui/#object/sent_email__v/VBLZ025E82GNPJ2", "SE-000274753")</f>
        <v>SE-000274753</v>
      </c>
      <c r="D3048" s="4">
        <v>45916.376921296294</v>
      </c>
      <c r="E3048" s="5">
        <v>1</v>
      </c>
      <c r="F3048" s="5">
        <v>1</v>
      </c>
      <c r="G3048" s="5">
        <v>0</v>
      </c>
      <c r="H3048" s="4" t="s">
        <v>11</v>
      </c>
      <c r="I3048" s="5">
        <v>0</v>
      </c>
      <c r="J3048" s="4">
        <v>45916.294606481482</v>
      </c>
    </row>
    <row r="3049" spans="1:10" x14ac:dyDescent="0.2">
      <c r="A3049" s="2" t="s">
        <v>10</v>
      </c>
      <c r="B3049" s="3" t="str">
        <f t="shared" si="57"/>
        <v>France - HCP Survey Email - June 2025</v>
      </c>
      <c r="C3049" s="3" t="str">
        <f>HYPERLINK("https://otsuka-europe-crm.veevavault.com/ui/#object/sent_email__v/VBLZ025E82GNPJ3", "SE-000274754")</f>
        <v>SE-000274754</v>
      </c>
      <c r="D3049" s="4" t="s">
        <v>11</v>
      </c>
      <c r="E3049" s="5">
        <v>0</v>
      </c>
      <c r="F3049" s="5">
        <v>0</v>
      </c>
      <c r="G3049" s="5">
        <v>0</v>
      </c>
      <c r="H3049" s="4" t="s">
        <v>11</v>
      </c>
      <c r="I3049" s="5">
        <v>0</v>
      </c>
      <c r="J3049" s="4">
        <v>45916.294953703706</v>
      </c>
    </row>
    <row r="3050" spans="1:10" x14ac:dyDescent="0.2">
      <c r="A3050" s="2" t="s">
        <v>10</v>
      </c>
      <c r="B3050" s="3" t="str">
        <f t="shared" si="57"/>
        <v>France - HCP Survey Email - June 2025</v>
      </c>
      <c r="C3050" s="3" t="str">
        <f>HYPERLINK("https://otsuka-europe-crm.veevavault.com/ui/#object/sent_email__v/VBLZ025E82GNPJ4", "SE-000274755")</f>
        <v>SE-000274755</v>
      </c>
      <c r="D3050" s="4" t="s">
        <v>11</v>
      </c>
      <c r="E3050" s="5">
        <v>0</v>
      </c>
      <c r="F3050" s="5">
        <v>0</v>
      </c>
      <c r="G3050" s="5">
        <v>0</v>
      </c>
      <c r="H3050" s="4" t="s">
        <v>11</v>
      </c>
      <c r="I3050" s="5">
        <v>0</v>
      </c>
      <c r="J3050" s="4">
        <v>45916.294236111113</v>
      </c>
    </row>
    <row r="3051" spans="1:10" x14ac:dyDescent="0.2">
      <c r="A3051" s="2" t="s">
        <v>10</v>
      </c>
      <c r="B3051" s="3" t="str">
        <f t="shared" si="57"/>
        <v>France - HCP Survey Email - June 2025</v>
      </c>
      <c r="C3051" s="3" t="str">
        <f>HYPERLINK("https://otsuka-europe-crm.veevavault.com/ui/#object/sent_email__v/VBLZ025E82GNPJ5", "SE-000274756")</f>
        <v>SE-000274756</v>
      </c>
      <c r="D3051" s="4" t="s">
        <v>11</v>
      </c>
      <c r="E3051" s="5">
        <v>0</v>
      </c>
      <c r="F3051" s="5">
        <v>0</v>
      </c>
      <c r="G3051" s="5">
        <v>0</v>
      </c>
      <c r="H3051" s="4" t="s">
        <v>11</v>
      </c>
      <c r="I3051" s="5">
        <v>0</v>
      </c>
      <c r="J3051" s="4">
        <v>45916.29451388889</v>
      </c>
    </row>
    <row r="3052" spans="1:10" x14ac:dyDescent="0.2">
      <c r="A3052" s="2" t="s">
        <v>10</v>
      </c>
      <c r="B3052" s="3" t="str">
        <f t="shared" si="57"/>
        <v>France - HCP Survey Email - June 2025</v>
      </c>
      <c r="C3052" s="3" t="str">
        <f>HYPERLINK("https://otsuka-europe-crm.veevavault.com/ui/#object/sent_email__v/VBLZ025E82GNPJ6", "SE-000274757")</f>
        <v>SE-000274757</v>
      </c>
      <c r="D3052" s="4">
        <v>45916.472627314812</v>
      </c>
      <c r="E3052" s="5">
        <v>1</v>
      </c>
      <c r="F3052" s="5">
        <v>1</v>
      </c>
      <c r="G3052" s="5">
        <v>0</v>
      </c>
      <c r="H3052" s="4" t="s">
        <v>11</v>
      </c>
      <c r="I3052" s="5">
        <v>0</v>
      </c>
      <c r="J3052" s="4">
        <v>45916.294768518521</v>
      </c>
    </row>
    <row r="3053" spans="1:10" x14ac:dyDescent="0.2">
      <c r="A3053" s="2" t="s">
        <v>10</v>
      </c>
      <c r="B3053" s="3" t="str">
        <f t="shared" si="57"/>
        <v>France - HCP Survey Email - June 2025</v>
      </c>
      <c r="C3053" s="3" t="str">
        <f>HYPERLINK("https://otsuka-europe-crm.veevavault.com/ui/#object/sent_email__v/VBLZ025E82GNPJ7", "SE-000274758")</f>
        <v>SE-000274758</v>
      </c>
      <c r="D3053" s="4" t="s">
        <v>11</v>
      </c>
      <c r="E3053" s="5">
        <v>0</v>
      </c>
      <c r="F3053" s="5">
        <v>0</v>
      </c>
      <c r="G3053" s="5">
        <v>0</v>
      </c>
      <c r="H3053" s="4" t="s">
        <v>11</v>
      </c>
      <c r="I3053" s="5">
        <v>0</v>
      </c>
      <c r="J3053" s="4">
        <v>45916.294872685183</v>
      </c>
    </row>
    <row r="3054" spans="1:10" x14ac:dyDescent="0.2">
      <c r="A3054" s="2" t="s">
        <v>10</v>
      </c>
      <c r="B3054" s="3" t="str">
        <f t="shared" si="57"/>
        <v>France - HCP Survey Email - June 2025</v>
      </c>
      <c r="C3054" s="3" t="str">
        <f>HYPERLINK("https://otsuka-europe-crm.veevavault.com/ui/#object/sent_email__v/VBLZ025E82GNPJ8", "SE-000274759")</f>
        <v>SE-000274759</v>
      </c>
      <c r="D3054" s="4" t="s">
        <v>11</v>
      </c>
      <c r="E3054" s="5">
        <v>0</v>
      </c>
      <c r="F3054" s="5">
        <v>0</v>
      </c>
      <c r="G3054" s="5">
        <v>0</v>
      </c>
      <c r="H3054" s="4" t="s">
        <v>11</v>
      </c>
      <c r="I3054" s="5">
        <v>0</v>
      </c>
      <c r="J3054" s="4">
        <v>45916.294270833336</v>
      </c>
    </row>
    <row r="3055" spans="1:10" x14ac:dyDescent="0.2">
      <c r="A3055" s="2" t="s">
        <v>10</v>
      </c>
      <c r="B3055" s="3" t="str">
        <f t="shared" si="57"/>
        <v>France - HCP Survey Email - June 2025</v>
      </c>
      <c r="C3055" s="3" t="str">
        <f>HYPERLINK("https://otsuka-europe-crm.veevavault.com/ui/#object/sent_email__v/VBLZ025E82GNPJ9", "SE-000274760")</f>
        <v>SE-000274760</v>
      </c>
      <c r="D3055" s="4" t="s">
        <v>11</v>
      </c>
      <c r="E3055" s="5">
        <v>0</v>
      </c>
      <c r="F3055" s="5">
        <v>0</v>
      </c>
      <c r="G3055" s="5">
        <v>0</v>
      </c>
      <c r="H3055" s="4" t="s">
        <v>11</v>
      </c>
      <c r="I3055" s="5">
        <v>0</v>
      </c>
      <c r="J3055" s="4">
        <v>45916.294490740744</v>
      </c>
    </row>
    <row r="3056" spans="1:10" x14ac:dyDescent="0.2">
      <c r="A3056" s="2" t="s">
        <v>10</v>
      </c>
      <c r="B3056" s="3" t="str">
        <f t="shared" si="57"/>
        <v>France - HCP Survey Email - June 2025</v>
      </c>
      <c r="C3056" s="3" t="str">
        <f>HYPERLINK("https://otsuka-europe-crm.veevavault.com/ui/#object/sent_email__v/VBLZ025E82GNPJA", "SE-000274761")</f>
        <v>SE-000274761</v>
      </c>
      <c r="D3056" s="4">
        <v>45973.38962962963</v>
      </c>
      <c r="E3056" s="5">
        <v>1</v>
      </c>
      <c r="F3056" s="5">
        <v>4</v>
      </c>
      <c r="G3056" s="5">
        <v>0</v>
      </c>
      <c r="H3056" s="4" t="s">
        <v>11</v>
      </c>
      <c r="I3056" s="5">
        <v>0</v>
      </c>
      <c r="J3056" s="4">
        <v>45916.294803240744</v>
      </c>
    </row>
    <row r="3057" spans="1:10" x14ac:dyDescent="0.2">
      <c r="A3057" s="2" t="s">
        <v>10</v>
      </c>
      <c r="B3057" s="3" t="str">
        <f t="shared" si="57"/>
        <v>France - HCP Survey Email - June 2025</v>
      </c>
      <c r="C3057" s="3" t="str">
        <f>HYPERLINK("https://otsuka-europe-crm.veevavault.com/ui/#object/sent_email__v/VBLZ025E82GNPJB", "SE-000274762")</f>
        <v>SE-000274762</v>
      </c>
      <c r="D3057" s="4" t="s">
        <v>11</v>
      </c>
      <c r="E3057" s="5">
        <v>0</v>
      </c>
      <c r="F3057" s="5">
        <v>0</v>
      </c>
      <c r="G3057" s="5">
        <v>0</v>
      </c>
      <c r="H3057" s="4" t="s">
        <v>11</v>
      </c>
      <c r="I3057" s="5">
        <v>0</v>
      </c>
      <c r="J3057" s="4">
        <v>45916.294270833336</v>
      </c>
    </row>
    <row r="3058" spans="1:10" x14ac:dyDescent="0.2">
      <c r="A3058" s="2" t="s">
        <v>10</v>
      </c>
      <c r="B3058" s="3" t="str">
        <f t="shared" si="57"/>
        <v>France - HCP Survey Email - June 2025</v>
      </c>
      <c r="C3058" s="3" t="str">
        <f>HYPERLINK("https://otsuka-europe-crm.veevavault.com/ui/#object/sent_email__v/VBLZ025E82GNPJC", "SE-000274763")</f>
        <v>SE-000274763</v>
      </c>
      <c r="D3058" s="4">
        <v>45916.360775462963</v>
      </c>
      <c r="E3058" s="5">
        <v>1</v>
      </c>
      <c r="F3058" s="5">
        <v>3</v>
      </c>
      <c r="G3058" s="5">
        <v>0</v>
      </c>
      <c r="H3058" s="4" t="s">
        <v>11</v>
      </c>
      <c r="I3058" s="5">
        <v>0</v>
      </c>
      <c r="J3058" s="4">
        <v>45916.294895833336</v>
      </c>
    </row>
    <row r="3059" spans="1:10" x14ac:dyDescent="0.2">
      <c r="A3059" s="2" t="s">
        <v>10</v>
      </c>
      <c r="B3059" s="3" t="str">
        <f t="shared" si="57"/>
        <v>France - HCP Survey Email - June 2025</v>
      </c>
      <c r="C3059" s="3" t="str">
        <f>HYPERLINK("https://otsuka-europe-crm.veevavault.com/ui/#object/sent_email__v/VBLZ025E82GNPJD", "SE-000274764")</f>
        <v>SE-000274764</v>
      </c>
      <c r="D3059" s="4">
        <v>45916.340277777781</v>
      </c>
      <c r="E3059" s="5">
        <v>1</v>
      </c>
      <c r="F3059" s="5">
        <v>1</v>
      </c>
      <c r="G3059" s="5">
        <v>0</v>
      </c>
      <c r="H3059" s="4" t="s">
        <v>11</v>
      </c>
      <c r="I3059" s="5">
        <v>0</v>
      </c>
      <c r="J3059" s="4">
        <v>45916.294374999998</v>
      </c>
    </row>
    <row r="3060" spans="1:10" x14ac:dyDescent="0.2">
      <c r="A3060" s="2" t="s">
        <v>10</v>
      </c>
      <c r="B3060" s="3" t="str">
        <f t="shared" si="57"/>
        <v>France - HCP Survey Email - June 2025</v>
      </c>
      <c r="C3060" s="3" t="str">
        <f>HYPERLINK("https://otsuka-europe-crm.veevavault.com/ui/#object/sent_email__v/VBLZ025E82GNPJE", "SE-000274765")</f>
        <v>SE-000274765</v>
      </c>
      <c r="D3060" s="4" t="s">
        <v>11</v>
      </c>
      <c r="E3060" s="5">
        <v>0</v>
      </c>
      <c r="F3060" s="5">
        <v>0</v>
      </c>
      <c r="G3060" s="5">
        <v>0</v>
      </c>
      <c r="H3060" s="4" t="s">
        <v>11</v>
      </c>
      <c r="I3060" s="5">
        <v>0</v>
      </c>
      <c r="J3060" s="4">
        <v>45916.294571759259</v>
      </c>
    </row>
    <row r="3061" spans="1:10" x14ac:dyDescent="0.2">
      <c r="A3061" s="2" t="s">
        <v>10</v>
      </c>
      <c r="B3061" s="3" t="str">
        <f t="shared" si="57"/>
        <v>France - HCP Survey Email - June 2025</v>
      </c>
      <c r="C3061" s="3" t="str">
        <f>HYPERLINK("https://otsuka-europe-crm.veevavault.com/ui/#object/sent_email__v/VBLZ025E82GNPJF", "SE-000274766")</f>
        <v>SE-000274766</v>
      </c>
      <c r="D3061" s="4" t="s">
        <v>11</v>
      </c>
      <c r="E3061" s="5">
        <v>0</v>
      </c>
      <c r="F3061" s="5">
        <v>0</v>
      </c>
      <c r="G3061" s="5">
        <v>0</v>
      </c>
      <c r="H3061" s="4" t="s">
        <v>11</v>
      </c>
      <c r="I3061" s="5">
        <v>0</v>
      </c>
      <c r="J3061" s="4">
        <v>45916.294756944444</v>
      </c>
    </row>
    <row r="3062" spans="1:10" x14ac:dyDescent="0.2">
      <c r="A3062" s="2" t="s">
        <v>10</v>
      </c>
      <c r="B3062" s="3" t="str">
        <f t="shared" si="57"/>
        <v>France - HCP Survey Email - June 2025</v>
      </c>
      <c r="C3062" s="3" t="str">
        <f>HYPERLINK("https://otsuka-europe-crm.veevavault.com/ui/#object/sent_email__v/VBLZ025E82GNPJG", "SE-000274767")</f>
        <v>SE-000274767</v>
      </c>
      <c r="D3062" s="4" t="s">
        <v>11</v>
      </c>
      <c r="E3062" s="5">
        <v>0</v>
      </c>
      <c r="F3062" s="5">
        <v>0</v>
      </c>
      <c r="G3062" s="5">
        <v>0</v>
      </c>
      <c r="H3062" s="4" t="s">
        <v>11</v>
      </c>
      <c r="I3062" s="5">
        <v>0</v>
      </c>
      <c r="J3062" s="4">
        <v>45916.294212962966</v>
      </c>
    </row>
    <row r="3063" spans="1:10" x14ac:dyDescent="0.2">
      <c r="A3063" s="2" t="s">
        <v>10</v>
      </c>
      <c r="B3063" s="3" t="str">
        <f t="shared" si="57"/>
        <v>France - HCP Survey Email - June 2025</v>
      </c>
      <c r="C3063" s="3" t="str">
        <f>HYPERLINK("https://otsuka-europe-crm.veevavault.com/ui/#object/sent_email__v/VBLZ025E82GNPJH", "SE-000274768")</f>
        <v>SE-000274768</v>
      </c>
      <c r="D3063" s="4" t="s">
        <v>11</v>
      </c>
      <c r="E3063" s="5">
        <v>0</v>
      </c>
      <c r="F3063" s="5">
        <v>0</v>
      </c>
      <c r="G3063" s="5">
        <v>0</v>
      </c>
      <c r="H3063" s="4" t="s">
        <v>11</v>
      </c>
      <c r="I3063" s="5">
        <v>0</v>
      </c>
      <c r="J3063" s="4">
        <v>45916.294421296298</v>
      </c>
    </row>
    <row r="3064" spans="1:10" x14ac:dyDescent="0.2">
      <c r="A3064" s="2" t="s">
        <v>10</v>
      </c>
      <c r="B3064" s="3" t="str">
        <f t="shared" si="57"/>
        <v>France - HCP Survey Email - June 2025</v>
      </c>
      <c r="C3064" s="3" t="str">
        <f>HYPERLINK("https://otsuka-europe-crm.veevavault.com/ui/#object/sent_email__v/VBLZ025E82GNPJI", "SE-000274769")</f>
        <v>SE-000274769</v>
      </c>
      <c r="D3064" s="4">
        <v>45916.915416666663</v>
      </c>
      <c r="E3064" s="5">
        <v>1</v>
      </c>
      <c r="F3064" s="5">
        <v>2</v>
      </c>
      <c r="G3064" s="5">
        <v>0</v>
      </c>
      <c r="H3064" s="4" t="s">
        <v>11</v>
      </c>
      <c r="I3064" s="5">
        <v>0</v>
      </c>
      <c r="J3064" s="4">
        <v>45916.294722222221</v>
      </c>
    </row>
    <row r="3065" spans="1:10" x14ac:dyDescent="0.2">
      <c r="A3065" s="2" t="s">
        <v>10</v>
      </c>
      <c r="B3065" s="3" t="str">
        <f t="shared" si="57"/>
        <v>France - HCP Survey Email - June 2025</v>
      </c>
      <c r="C3065" s="3" t="str">
        <f>HYPERLINK("https://otsuka-europe-crm.veevavault.com/ui/#object/sent_email__v/VBLZ025E82GNPJJ", "SE-000274770")</f>
        <v>SE-000274770</v>
      </c>
      <c r="D3065" s="4">
        <v>45920.483356481483</v>
      </c>
      <c r="E3065" s="5">
        <v>1</v>
      </c>
      <c r="F3065" s="5">
        <v>2</v>
      </c>
      <c r="G3065" s="5">
        <v>0</v>
      </c>
      <c r="H3065" s="4" t="s">
        <v>11</v>
      </c>
      <c r="I3065" s="5">
        <v>0</v>
      </c>
      <c r="J3065" s="4">
        <v>45916.294942129629</v>
      </c>
    </row>
    <row r="3066" spans="1:10" x14ac:dyDescent="0.2">
      <c r="A3066" s="2" t="s">
        <v>10</v>
      </c>
      <c r="B3066" s="3" t="str">
        <f t="shared" si="57"/>
        <v>France - HCP Survey Email - June 2025</v>
      </c>
      <c r="C3066" s="3" t="str">
        <f>HYPERLINK("https://otsuka-europe-crm.veevavault.com/ui/#object/sent_email__v/VBLZ025E82GNPJK", "SE-000274771")</f>
        <v>SE-000274771</v>
      </c>
      <c r="D3066" s="4" t="s">
        <v>11</v>
      </c>
      <c r="E3066" s="5">
        <v>0</v>
      </c>
      <c r="F3066" s="5">
        <v>0</v>
      </c>
      <c r="G3066" s="5">
        <v>0</v>
      </c>
      <c r="H3066" s="4" t="s">
        <v>11</v>
      </c>
      <c r="I3066" s="5">
        <v>0</v>
      </c>
      <c r="J3066" s="4">
        <v>45916.294236111113</v>
      </c>
    </row>
    <row r="3067" spans="1:10" x14ac:dyDescent="0.2">
      <c r="A3067" s="2" t="s">
        <v>10</v>
      </c>
      <c r="B3067" s="3" t="str">
        <f t="shared" si="57"/>
        <v>France - HCP Survey Email - June 2025</v>
      </c>
      <c r="C3067" s="3" t="str">
        <f>HYPERLINK("https://otsuka-europe-crm.veevavault.com/ui/#object/sent_email__v/VBLZ025E82GNPJL", "SE-000274772")</f>
        <v>SE-000274772</v>
      </c>
      <c r="D3067" s="4" t="s">
        <v>11</v>
      </c>
      <c r="E3067" s="5">
        <v>0</v>
      </c>
      <c r="F3067" s="5">
        <v>0</v>
      </c>
      <c r="G3067" s="5">
        <v>0</v>
      </c>
      <c r="H3067" s="4" t="s">
        <v>11</v>
      </c>
      <c r="I3067" s="5">
        <v>0</v>
      </c>
      <c r="J3067" s="4">
        <v>45915.423101851855</v>
      </c>
    </row>
    <row r="3068" spans="1:10" x14ac:dyDescent="0.2">
      <c r="A3068" s="2" t="s">
        <v>10</v>
      </c>
      <c r="B3068" s="3" t="str">
        <f t="shared" si="57"/>
        <v>France - HCP Survey Email - June 2025</v>
      </c>
      <c r="C3068" s="3" t="str">
        <f>HYPERLINK("https://otsuka-europe-crm.veevavault.com/ui/#object/sent_email__v/VBLZ025E82GNPJM", "SE-000274773")</f>
        <v>SE-000274773</v>
      </c>
      <c r="D3068" s="4" t="s">
        <v>11</v>
      </c>
      <c r="E3068" s="5">
        <v>0</v>
      </c>
      <c r="F3068" s="5">
        <v>0</v>
      </c>
      <c r="G3068" s="5">
        <v>0</v>
      </c>
      <c r="H3068" s="4" t="s">
        <v>11</v>
      </c>
      <c r="I3068" s="5">
        <v>0</v>
      </c>
      <c r="J3068" s="4">
        <v>45915.423101851855</v>
      </c>
    </row>
    <row r="3069" spans="1:10" x14ac:dyDescent="0.2">
      <c r="A3069" s="2" t="s">
        <v>10</v>
      </c>
      <c r="B3069" s="3" t="str">
        <f t="shared" si="57"/>
        <v>France - HCP Survey Email - June 2025</v>
      </c>
      <c r="C3069" s="3" t="str">
        <f>HYPERLINK("https://otsuka-europe-crm.veevavault.com/ui/#object/sent_email__v/VBLZ025E82GNPJN", "SE-000274774")</f>
        <v>SE-000274774</v>
      </c>
      <c r="D3069" s="4">
        <v>45916.295590277776</v>
      </c>
      <c r="E3069" s="5">
        <v>1</v>
      </c>
      <c r="F3069" s="5">
        <v>2</v>
      </c>
      <c r="G3069" s="5">
        <v>1</v>
      </c>
      <c r="H3069" s="4">
        <v>45916.295590277776</v>
      </c>
      <c r="I3069" s="5">
        <v>2</v>
      </c>
      <c r="J3069" s="4">
        <v>45916.294895833336</v>
      </c>
    </row>
    <row r="3070" spans="1:10" x14ac:dyDescent="0.2">
      <c r="A3070" s="2" t="s">
        <v>10</v>
      </c>
      <c r="B3070" s="3" t="str">
        <f t="shared" si="57"/>
        <v>France - HCP Survey Email - June 2025</v>
      </c>
      <c r="C3070" s="3" t="str">
        <f>HYPERLINK("https://otsuka-europe-crm.veevavault.com/ui/#object/sent_email__v/VBLZ025E82GNPJO", "SE-000274775")</f>
        <v>SE-000274775</v>
      </c>
      <c r="D3070" s="4" t="s">
        <v>11</v>
      </c>
      <c r="E3070" s="5">
        <v>0</v>
      </c>
      <c r="F3070" s="5">
        <v>0</v>
      </c>
      <c r="G3070" s="5">
        <v>0</v>
      </c>
      <c r="H3070" s="4" t="s">
        <v>11</v>
      </c>
      <c r="I3070" s="5">
        <v>0</v>
      </c>
      <c r="J3070" s="4">
        <v>45916.294282407405</v>
      </c>
    </row>
    <row r="3071" spans="1:10" x14ac:dyDescent="0.2">
      <c r="A3071" s="2" t="s">
        <v>10</v>
      </c>
      <c r="B3071" s="3" t="str">
        <f t="shared" si="57"/>
        <v>France - HCP Survey Email - June 2025</v>
      </c>
      <c r="C3071" s="3" t="str">
        <f>HYPERLINK("https://otsuka-europe-crm.veevavault.com/ui/#object/sent_email__v/VBLZ025E82GNPJP", "SE-000274776")</f>
        <v>SE-000274776</v>
      </c>
      <c r="D3071" s="4" t="s">
        <v>11</v>
      </c>
      <c r="E3071" s="5">
        <v>0</v>
      </c>
      <c r="F3071" s="5">
        <v>0</v>
      </c>
      <c r="G3071" s="5">
        <v>0</v>
      </c>
      <c r="H3071" s="4" t="s">
        <v>11</v>
      </c>
      <c r="I3071" s="5">
        <v>0</v>
      </c>
      <c r="J3071" s="4">
        <v>45916.294583333336</v>
      </c>
    </row>
    <row r="3072" spans="1:10" x14ac:dyDescent="0.2">
      <c r="A3072" s="2" t="s">
        <v>10</v>
      </c>
      <c r="B3072" s="3" t="str">
        <f t="shared" si="57"/>
        <v>France - HCP Survey Email - June 2025</v>
      </c>
      <c r="C3072" s="3" t="str">
        <f>HYPERLINK("https://otsuka-europe-crm.veevavault.com/ui/#object/sent_email__v/VBLZ025E82GNPJQ", "SE-000274777")</f>
        <v>SE-000274777</v>
      </c>
      <c r="D3072" s="4" t="s">
        <v>11</v>
      </c>
      <c r="E3072" s="5">
        <v>0</v>
      </c>
      <c r="F3072" s="5">
        <v>0</v>
      </c>
      <c r="G3072" s="5">
        <v>0</v>
      </c>
      <c r="H3072" s="4" t="s">
        <v>11</v>
      </c>
      <c r="I3072" s="5">
        <v>0</v>
      </c>
      <c r="J3072" s="4">
        <v>45916.29488425926</v>
      </c>
    </row>
    <row r="3073" spans="1:10" x14ac:dyDescent="0.2">
      <c r="A3073" s="2" t="s">
        <v>10</v>
      </c>
      <c r="B3073" s="3" t="str">
        <f t="shared" ref="B3073:B3136" si="58">HYPERLINK("https://otsuka-europe-crm.veevavault.com/ui/#object/approved_document__v/V5OZ025E82TMV97", "France - HCP Survey Email - June 2025")</f>
        <v>France - HCP Survey Email - June 2025</v>
      </c>
      <c r="C3073" s="3" t="str">
        <f>HYPERLINK("https://otsuka-europe-crm.veevavault.com/ui/#object/sent_email__v/VBLZ025E82GNPJS", "SE-000274779")</f>
        <v>SE-000274779</v>
      </c>
      <c r="D3073" s="4" t="s">
        <v>11</v>
      </c>
      <c r="E3073" s="5">
        <v>0</v>
      </c>
      <c r="F3073" s="5">
        <v>0</v>
      </c>
      <c r="G3073" s="5">
        <v>0</v>
      </c>
      <c r="H3073" s="4" t="s">
        <v>11</v>
      </c>
      <c r="I3073" s="5">
        <v>0</v>
      </c>
      <c r="J3073" s="4">
        <v>45916.294351851851</v>
      </c>
    </row>
    <row r="3074" spans="1:10" x14ac:dyDescent="0.2">
      <c r="A3074" s="2" t="s">
        <v>10</v>
      </c>
      <c r="B3074" s="3" t="str">
        <f t="shared" si="58"/>
        <v>France - HCP Survey Email - June 2025</v>
      </c>
      <c r="C3074" s="3" t="str">
        <f>HYPERLINK("https://otsuka-europe-crm.veevavault.com/ui/#object/sent_email__v/VBLZ025E82GNPJT", "SE-000274780")</f>
        <v>SE-000274780</v>
      </c>
      <c r="D3074" s="4">
        <v>45920.331550925926</v>
      </c>
      <c r="E3074" s="5">
        <v>1</v>
      </c>
      <c r="F3074" s="5">
        <v>2</v>
      </c>
      <c r="G3074" s="5">
        <v>0</v>
      </c>
      <c r="H3074" s="4" t="s">
        <v>11</v>
      </c>
      <c r="I3074" s="5">
        <v>0</v>
      </c>
      <c r="J3074" s="4">
        <v>45916.294629629629</v>
      </c>
    </row>
    <row r="3075" spans="1:10" x14ac:dyDescent="0.2">
      <c r="A3075" s="2" t="s">
        <v>10</v>
      </c>
      <c r="B3075" s="3" t="str">
        <f t="shared" si="58"/>
        <v>France - HCP Survey Email - June 2025</v>
      </c>
      <c r="C3075" s="3" t="str">
        <f>HYPERLINK("https://otsuka-europe-crm.veevavault.com/ui/#object/sent_email__v/VBLZ025E82GNPJU", "SE-000274781")</f>
        <v>SE-000274781</v>
      </c>
      <c r="D3075" s="4">
        <v>45916.858136574076</v>
      </c>
      <c r="E3075" s="5">
        <v>1</v>
      </c>
      <c r="F3075" s="5">
        <v>1</v>
      </c>
      <c r="G3075" s="5">
        <v>0</v>
      </c>
      <c r="H3075" s="4" t="s">
        <v>11</v>
      </c>
      <c r="I3075" s="5">
        <v>0</v>
      </c>
      <c r="J3075" s="4">
        <v>45916.29488425926</v>
      </c>
    </row>
    <row r="3076" spans="1:10" x14ac:dyDescent="0.2">
      <c r="A3076" s="2" t="s">
        <v>10</v>
      </c>
      <c r="B3076" s="3" t="str">
        <f t="shared" si="58"/>
        <v>France - HCP Survey Email - June 2025</v>
      </c>
      <c r="C3076" s="3" t="str">
        <f>HYPERLINK("https://otsuka-europe-crm.veevavault.com/ui/#object/sent_email__v/VBLZ025E82GNPJV", "SE-000274782")</f>
        <v>SE-000274782</v>
      </c>
      <c r="D3076" s="4" t="s">
        <v>11</v>
      </c>
      <c r="E3076" s="5">
        <v>0</v>
      </c>
      <c r="F3076" s="5">
        <v>0</v>
      </c>
      <c r="G3076" s="5">
        <v>0</v>
      </c>
      <c r="H3076" s="4" t="s">
        <v>11</v>
      </c>
      <c r="I3076" s="5">
        <v>0</v>
      </c>
      <c r="J3076" s="4">
        <v>45916.294236111113</v>
      </c>
    </row>
    <row r="3077" spans="1:10" x14ac:dyDescent="0.2">
      <c r="A3077" s="2" t="s">
        <v>10</v>
      </c>
      <c r="B3077" s="3" t="str">
        <f t="shared" si="58"/>
        <v>France - HCP Survey Email - June 2025</v>
      </c>
      <c r="C3077" s="3" t="str">
        <f>HYPERLINK("https://otsuka-europe-crm.veevavault.com/ui/#object/sent_email__v/VBLZ025E82GNPJW", "SE-000274783")</f>
        <v>SE-000274783</v>
      </c>
      <c r="D3077" s="4" t="s">
        <v>11</v>
      </c>
      <c r="E3077" s="5">
        <v>0</v>
      </c>
      <c r="F3077" s="5">
        <v>0</v>
      </c>
      <c r="G3077" s="5">
        <v>0</v>
      </c>
      <c r="H3077" s="4" t="s">
        <v>11</v>
      </c>
      <c r="I3077" s="5">
        <v>0</v>
      </c>
      <c r="J3077" s="4">
        <v>45916.294560185182</v>
      </c>
    </row>
    <row r="3078" spans="1:10" x14ac:dyDescent="0.2">
      <c r="A3078" s="2" t="s">
        <v>10</v>
      </c>
      <c r="B3078" s="3" t="str">
        <f t="shared" si="58"/>
        <v>France - HCP Survey Email - June 2025</v>
      </c>
      <c r="C3078" s="3" t="str">
        <f>HYPERLINK("https://otsuka-europe-crm.veevavault.com/ui/#object/sent_email__v/VBLZ025E82GNPJX", "SE-000274784")</f>
        <v>SE-000274784</v>
      </c>
      <c r="D3078" s="4">
        <v>45916.29478009259</v>
      </c>
      <c r="E3078" s="5">
        <v>1</v>
      </c>
      <c r="F3078" s="5">
        <v>1</v>
      </c>
      <c r="G3078" s="5">
        <v>1</v>
      </c>
      <c r="H3078" s="4">
        <v>45916.29478009259</v>
      </c>
      <c r="I3078" s="5">
        <v>1</v>
      </c>
      <c r="J3078" s="4">
        <v>45916.294756944444</v>
      </c>
    </row>
    <row r="3079" spans="1:10" x14ac:dyDescent="0.2">
      <c r="A3079" s="2" t="s">
        <v>10</v>
      </c>
      <c r="B3079" s="3" t="str">
        <f t="shared" si="58"/>
        <v>France - HCP Survey Email - June 2025</v>
      </c>
      <c r="C3079" s="3" t="str">
        <f>HYPERLINK("https://otsuka-europe-crm.veevavault.com/ui/#object/sent_email__v/VBLZ025E82GNPJY", "SE-000274785")</f>
        <v>SE-000274785</v>
      </c>
      <c r="D3079" s="4" t="s">
        <v>11</v>
      </c>
      <c r="E3079" s="5">
        <v>0</v>
      </c>
      <c r="F3079" s="5">
        <v>0</v>
      </c>
      <c r="G3079" s="5">
        <v>0</v>
      </c>
      <c r="H3079" s="4" t="s">
        <v>11</v>
      </c>
      <c r="I3079" s="5">
        <v>0</v>
      </c>
      <c r="J3079" s="4">
        <v>45916.295023148145</v>
      </c>
    </row>
    <row r="3080" spans="1:10" x14ac:dyDescent="0.2">
      <c r="A3080" s="2" t="s">
        <v>10</v>
      </c>
      <c r="B3080" s="3" t="str">
        <f t="shared" si="58"/>
        <v>France - HCP Survey Email - June 2025</v>
      </c>
      <c r="C3080" s="3" t="str">
        <f>HYPERLINK("https://otsuka-europe-crm.veevavault.com/ui/#object/sent_email__v/VBLZ025E82GNPJZ", "SE-000274786")</f>
        <v>SE-000274786</v>
      </c>
      <c r="D3080" s="4" t="s">
        <v>11</v>
      </c>
      <c r="E3080" s="5">
        <v>0</v>
      </c>
      <c r="F3080" s="5">
        <v>0</v>
      </c>
      <c r="G3080" s="5">
        <v>0</v>
      </c>
      <c r="H3080" s="4" t="s">
        <v>11</v>
      </c>
      <c r="I3080" s="5">
        <v>0</v>
      </c>
      <c r="J3080" s="4">
        <v>45916.294317129628</v>
      </c>
    </row>
    <row r="3081" spans="1:10" x14ac:dyDescent="0.2">
      <c r="A3081" s="2" t="s">
        <v>10</v>
      </c>
      <c r="B3081" s="3" t="str">
        <f t="shared" si="58"/>
        <v>France - HCP Survey Email - June 2025</v>
      </c>
      <c r="C3081" s="3" t="str">
        <f>HYPERLINK("https://otsuka-europe-crm.veevavault.com/ui/#object/sent_email__v/VBLZ025E82GNPK0", "SE-000274787")</f>
        <v>SE-000274787</v>
      </c>
      <c r="D3081" s="4" t="s">
        <v>11</v>
      </c>
      <c r="E3081" s="5">
        <v>0</v>
      </c>
      <c r="F3081" s="5">
        <v>0</v>
      </c>
      <c r="G3081" s="5">
        <v>0</v>
      </c>
      <c r="H3081" s="4" t="s">
        <v>11</v>
      </c>
      <c r="I3081" s="5">
        <v>0</v>
      </c>
      <c r="J3081" s="4">
        <v>45916.294571759259</v>
      </c>
    </row>
    <row r="3082" spans="1:10" x14ac:dyDescent="0.2">
      <c r="A3082" s="2" t="s">
        <v>10</v>
      </c>
      <c r="B3082" s="3" t="str">
        <f t="shared" si="58"/>
        <v>France - HCP Survey Email - June 2025</v>
      </c>
      <c r="C3082" s="3" t="str">
        <f>HYPERLINK("https://otsuka-europe-crm.veevavault.com/ui/#object/sent_email__v/VBLZ025E82GNPK1", "SE-000274788")</f>
        <v>SE-000274788</v>
      </c>
      <c r="D3082" s="4" t="s">
        <v>11</v>
      </c>
      <c r="E3082" s="5">
        <v>0</v>
      </c>
      <c r="F3082" s="5">
        <v>0</v>
      </c>
      <c r="G3082" s="5">
        <v>0</v>
      </c>
      <c r="H3082" s="4" t="s">
        <v>11</v>
      </c>
      <c r="I3082" s="5">
        <v>0</v>
      </c>
      <c r="J3082" s="4">
        <v>45916.294849537036</v>
      </c>
    </row>
    <row r="3083" spans="1:10" x14ac:dyDescent="0.2">
      <c r="A3083" s="2" t="s">
        <v>10</v>
      </c>
      <c r="B3083" s="3" t="str">
        <f t="shared" si="58"/>
        <v>France - HCP Survey Email - June 2025</v>
      </c>
      <c r="C3083" s="3" t="str">
        <f>HYPERLINK("https://otsuka-europe-crm.veevavault.com/ui/#object/sent_email__v/VBLZ025E82GNPK2", "SE-000274789")</f>
        <v>SE-000274789</v>
      </c>
      <c r="D3083" s="4" t="s">
        <v>11</v>
      </c>
      <c r="E3083" s="5">
        <v>0</v>
      </c>
      <c r="F3083" s="5">
        <v>0</v>
      </c>
      <c r="G3083" s="5">
        <v>0</v>
      </c>
      <c r="H3083" s="4" t="s">
        <v>11</v>
      </c>
      <c r="I3083" s="5">
        <v>0</v>
      </c>
      <c r="J3083" s="4">
        <v>45916.294270833336</v>
      </c>
    </row>
    <row r="3084" spans="1:10" x14ac:dyDescent="0.2">
      <c r="A3084" s="2" t="s">
        <v>10</v>
      </c>
      <c r="B3084" s="3" t="str">
        <f t="shared" si="58"/>
        <v>France - HCP Survey Email - June 2025</v>
      </c>
      <c r="C3084" s="3" t="str">
        <f>HYPERLINK("https://otsuka-europe-crm.veevavault.com/ui/#object/sent_email__v/VBLZ025E82GNPK3", "SE-000274790")</f>
        <v>SE-000274790</v>
      </c>
      <c r="D3084" s="4" t="s">
        <v>11</v>
      </c>
      <c r="E3084" s="5">
        <v>0</v>
      </c>
      <c r="F3084" s="5">
        <v>0</v>
      </c>
      <c r="G3084" s="5">
        <v>0</v>
      </c>
      <c r="H3084" s="4" t="s">
        <v>11</v>
      </c>
      <c r="I3084" s="5">
        <v>0</v>
      </c>
      <c r="J3084" s="4">
        <v>45916.294317129628</v>
      </c>
    </row>
    <row r="3085" spans="1:10" x14ac:dyDescent="0.2">
      <c r="A3085" s="2" t="s">
        <v>10</v>
      </c>
      <c r="B3085" s="3" t="str">
        <f t="shared" si="58"/>
        <v>France - HCP Survey Email - June 2025</v>
      </c>
      <c r="C3085" s="3" t="str">
        <f>HYPERLINK("https://otsuka-europe-crm.veevavault.com/ui/#object/sent_email__v/VBLZ025E82GNPK4", "SE-000274791")</f>
        <v>SE-000274791</v>
      </c>
      <c r="D3085" s="4">
        <v>45916.800486111111</v>
      </c>
      <c r="E3085" s="5">
        <v>1</v>
      </c>
      <c r="F3085" s="5">
        <v>3</v>
      </c>
      <c r="G3085" s="5">
        <v>0</v>
      </c>
      <c r="H3085" s="4" t="s">
        <v>11</v>
      </c>
      <c r="I3085" s="5">
        <v>0</v>
      </c>
      <c r="J3085" s="4">
        <v>45916.294606481482</v>
      </c>
    </row>
    <row r="3086" spans="1:10" x14ac:dyDescent="0.2">
      <c r="A3086" s="2" t="s">
        <v>10</v>
      </c>
      <c r="B3086" s="3" t="str">
        <f t="shared" si="58"/>
        <v>France - HCP Survey Email - June 2025</v>
      </c>
      <c r="C3086" s="3" t="str">
        <f>HYPERLINK("https://otsuka-europe-crm.veevavault.com/ui/#object/sent_email__v/VBLZ025E82GNPK6", "SE-000274793")</f>
        <v>SE-000274793</v>
      </c>
      <c r="D3086" s="4" t="s">
        <v>11</v>
      </c>
      <c r="E3086" s="5">
        <v>0</v>
      </c>
      <c r="F3086" s="5">
        <v>0</v>
      </c>
      <c r="G3086" s="5">
        <v>0</v>
      </c>
      <c r="H3086" s="4" t="s">
        <v>11</v>
      </c>
      <c r="I3086" s="5">
        <v>0</v>
      </c>
      <c r="J3086" s="4">
        <v>45916.294293981482</v>
      </c>
    </row>
    <row r="3087" spans="1:10" x14ac:dyDescent="0.2">
      <c r="A3087" s="2" t="s">
        <v>10</v>
      </c>
      <c r="B3087" s="3" t="str">
        <f t="shared" si="58"/>
        <v>France - HCP Survey Email - June 2025</v>
      </c>
      <c r="C3087" s="3" t="str">
        <f>HYPERLINK("https://otsuka-europe-crm.veevavault.com/ui/#object/sent_email__v/VBLZ025E82GNPK7", "SE-000274794")</f>
        <v>SE-000274794</v>
      </c>
      <c r="D3087" s="4" t="s">
        <v>11</v>
      </c>
      <c r="E3087" s="5">
        <v>0</v>
      </c>
      <c r="F3087" s="5">
        <v>0</v>
      </c>
      <c r="G3087" s="5">
        <v>0</v>
      </c>
      <c r="H3087" s="4" t="s">
        <v>11</v>
      </c>
      <c r="I3087" s="5">
        <v>0</v>
      </c>
      <c r="J3087" s="4">
        <v>45916.294490740744</v>
      </c>
    </row>
    <row r="3088" spans="1:10" x14ac:dyDescent="0.2">
      <c r="A3088" s="2" t="s">
        <v>10</v>
      </c>
      <c r="B3088" s="3" t="str">
        <f t="shared" si="58"/>
        <v>France - HCP Survey Email - June 2025</v>
      </c>
      <c r="C3088" s="3" t="str">
        <f>HYPERLINK("https://otsuka-europe-crm.veevavault.com/ui/#object/sent_email__v/VBLZ025E82GNPK8", "SE-000274795")</f>
        <v>SE-000274795</v>
      </c>
      <c r="D3088" s="4" t="s">
        <v>11</v>
      </c>
      <c r="E3088" s="5">
        <v>0</v>
      </c>
      <c r="F3088" s="5">
        <v>0</v>
      </c>
      <c r="G3088" s="5">
        <v>0</v>
      </c>
      <c r="H3088" s="4" t="s">
        <v>11</v>
      </c>
      <c r="I3088" s="5">
        <v>0</v>
      </c>
      <c r="J3088" s="4">
        <v>45916.294768518521</v>
      </c>
    </row>
    <row r="3089" spans="1:10" x14ac:dyDescent="0.2">
      <c r="A3089" s="2" t="s">
        <v>10</v>
      </c>
      <c r="B3089" s="3" t="str">
        <f t="shared" si="58"/>
        <v>France - HCP Survey Email - June 2025</v>
      </c>
      <c r="C3089" s="3" t="str">
        <f>HYPERLINK("https://otsuka-europe-crm.veevavault.com/ui/#object/sent_email__v/VBLZ025E82GNPK9", "SE-000274796")</f>
        <v>SE-000274796</v>
      </c>
      <c r="D3089" s="4" t="s">
        <v>11</v>
      </c>
      <c r="E3089" s="5">
        <v>0</v>
      </c>
      <c r="F3089" s="5">
        <v>0</v>
      </c>
      <c r="G3089" s="5">
        <v>0</v>
      </c>
      <c r="H3089" s="4" t="s">
        <v>11</v>
      </c>
      <c r="I3089" s="5">
        <v>0</v>
      </c>
      <c r="J3089" s="4">
        <v>45916.294872685183</v>
      </c>
    </row>
    <row r="3090" spans="1:10" x14ac:dyDescent="0.2">
      <c r="A3090" s="2" t="s">
        <v>10</v>
      </c>
      <c r="B3090" s="3" t="str">
        <f t="shared" si="58"/>
        <v>France - HCP Survey Email - June 2025</v>
      </c>
      <c r="C3090" s="3" t="str">
        <f>HYPERLINK("https://otsuka-europe-crm.veevavault.com/ui/#object/sent_email__v/VBLZ025E82GNPKA", "SE-000274797")</f>
        <v>SE-000274797</v>
      </c>
      <c r="D3090" s="4" t="s">
        <v>11</v>
      </c>
      <c r="E3090" s="5">
        <v>0</v>
      </c>
      <c r="F3090" s="5">
        <v>0</v>
      </c>
      <c r="G3090" s="5">
        <v>0</v>
      </c>
      <c r="H3090" s="4" t="s">
        <v>11</v>
      </c>
      <c r="I3090" s="5">
        <v>0</v>
      </c>
      <c r="J3090" s="4">
        <v>45916.294317129628</v>
      </c>
    </row>
    <row r="3091" spans="1:10" x14ac:dyDescent="0.2">
      <c r="A3091" s="2" t="s">
        <v>10</v>
      </c>
      <c r="B3091" s="3" t="str">
        <f t="shared" si="58"/>
        <v>France - HCP Survey Email - June 2025</v>
      </c>
      <c r="C3091" s="3" t="str">
        <f>HYPERLINK("https://otsuka-europe-crm.veevavault.com/ui/#object/sent_email__v/VBLZ025E82GNPKB", "SE-000274798")</f>
        <v>SE-000274798</v>
      </c>
      <c r="D3091" s="4" t="s">
        <v>11</v>
      </c>
      <c r="E3091" s="5">
        <v>0</v>
      </c>
      <c r="F3091" s="5">
        <v>0</v>
      </c>
      <c r="G3091" s="5">
        <v>0</v>
      </c>
      <c r="H3091" s="4" t="s">
        <v>11</v>
      </c>
      <c r="I3091" s="5">
        <v>0</v>
      </c>
      <c r="J3091" s="4">
        <v>45916.294583333336</v>
      </c>
    </row>
    <row r="3092" spans="1:10" x14ac:dyDescent="0.2">
      <c r="A3092" s="2" t="s">
        <v>10</v>
      </c>
      <c r="B3092" s="3" t="str">
        <f t="shared" si="58"/>
        <v>France - HCP Survey Email - June 2025</v>
      </c>
      <c r="C3092" s="3" t="str">
        <f>HYPERLINK("https://otsuka-europe-crm.veevavault.com/ui/#object/sent_email__v/VBLZ025E82GNPKC", "SE-000274799")</f>
        <v>SE-000274799</v>
      </c>
      <c r="D3092" s="4" t="s">
        <v>11</v>
      </c>
      <c r="E3092" s="5">
        <v>0</v>
      </c>
      <c r="F3092" s="5">
        <v>0</v>
      </c>
      <c r="G3092" s="5">
        <v>0</v>
      </c>
      <c r="H3092" s="4" t="s">
        <v>11</v>
      </c>
      <c r="I3092" s="5">
        <v>0</v>
      </c>
      <c r="J3092" s="4">
        <v>45916.294733796298</v>
      </c>
    </row>
    <row r="3093" spans="1:10" x14ac:dyDescent="0.2">
      <c r="A3093" s="2" t="s">
        <v>10</v>
      </c>
      <c r="B3093" s="3" t="str">
        <f t="shared" si="58"/>
        <v>France - HCP Survey Email - June 2025</v>
      </c>
      <c r="C3093" s="3" t="str">
        <f>HYPERLINK("https://otsuka-europe-crm.veevavault.com/ui/#object/sent_email__v/VBLZ025E82GNPKD", "SE-000274800")</f>
        <v>SE-000274800</v>
      </c>
      <c r="D3093" s="4" t="s">
        <v>11</v>
      </c>
      <c r="E3093" s="5">
        <v>0</v>
      </c>
      <c r="F3093" s="5">
        <v>0</v>
      </c>
      <c r="G3093" s="5">
        <v>0</v>
      </c>
      <c r="H3093" s="4" t="s">
        <v>11</v>
      </c>
      <c r="I3093" s="5">
        <v>0</v>
      </c>
      <c r="J3093" s="4">
        <v>45916.294976851852</v>
      </c>
    </row>
    <row r="3094" spans="1:10" x14ac:dyDescent="0.2">
      <c r="A3094" s="2" t="s">
        <v>10</v>
      </c>
      <c r="B3094" s="3" t="str">
        <f t="shared" si="58"/>
        <v>France - HCP Survey Email - June 2025</v>
      </c>
      <c r="C3094" s="3" t="str">
        <f>HYPERLINK("https://otsuka-europe-crm.veevavault.com/ui/#object/sent_email__v/VBLZ025E82GNPKE", "SE-000274801")</f>
        <v>SE-000274801</v>
      </c>
      <c r="D3094" s="4" t="s">
        <v>11</v>
      </c>
      <c r="E3094" s="5">
        <v>0</v>
      </c>
      <c r="F3094" s="5">
        <v>0</v>
      </c>
      <c r="G3094" s="5">
        <v>0</v>
      </c>
      <c r="H3094" s="4" t="s">
        <v>11</v>
      </c>
      <c r="I3094" s="5">
        <v>0</v>
      </c>
      <c r="J3094" s="4">
        <v>45916.294328703705</v>
      </c>
    </row>
    <row r="3095" spans="1:10" x14ac:dyDescent="0.2">
      <c r="A3095" s="2" t="s">
        <v>10</v>
      </c>
      <c r="B3095" s="3" t="str">
        <f t="shared" si="58"/>
        <v>France - HCP Survey Email - June 2025</v>
      </c>
      <c r="C3095" s="3" t="str">
        <f>HYPERLINK("https://otsuka-europe-crm.veevavault.com/ui/#object/sent_email__v/VBLZ025E82GNPKF", "SE-000274802")</f>
        <v>SE-000274802</v>
      </c>
      <c r="D3095" s="4" t="s">
        <v>11</v>
      </c>
      <c r="E3095" s="5">
        <v>0</v>
      </c>
      <c r="F3095" s="5">
        <v>0</v>
      </c>
      <c r="G3095" s="5">
        <v>0</v>
      </c>
      <c r="H3095" s="4" t="s">
        <v>11</v>
      </c>
      <c r="I3095" s="5">
        <v>0</v>
      </c>
      <c r="J3095" s="4">
        <v>45916.294537037036</v>
      </c>
    </row>
    <row r="3096" spans="1:10" x14ac:dyDescent="0.2">
      <c r="A3096" s="2" t="s">
        <v>10</v>
      </c>
      <c r="B3096" s="3" t="str">
        <f t="shared" si="58"/>
        <v>France - HCP Survey Email - June 2025</v>
      </c>
      <c r="C3096" s="3" t="str">
        <f>HYPERLINK("https://otsuka-europe-crm.veevavault.com/ui/#object/sent_email__v/VBLZ025E82GNPKG", "SE-000274803")</f>
        <v>SE-000274803</v>
      </c>
      <c r="D3096" s="4" t="s">
        <v>11</v>
      </c>
      <c r="E3096" s="5">
        <v>0</v>
      </c>
      <c r="F3096" s="5">
        <v>0</v>
      </c>
      <c r="G3096" s="5">
        <v>0</v>
      </c>
      <c r="H3096" s="4" t="s">
        <v>11</v>
      </c>
      <c r="I3096" s="5">
        <v>0</v>
      </c>
      <c r="J3096" s="4">
        <v>45916.294907407406</v>
      </c>
    </row>
    <row r="3097" spans="1:10" x14ac:dyDescent="0.2">
      <c r="A3097" s="2" t="s">
        <v>10</v>
      </c>
      <c r="B3097" s="3" t="str">
        <f t="shared" si="58"/>
        <v>France - HCP Survey Email - June 2025</v>
      </c>
      <c r="C3097" s="3" t="str">
        <f>HYPERLINK("https://otsuka-europe-crm.veevavault.com/ui/#object/sent_email__v/VBLZ025E82GNPKH", "SE-000274804")</f>
        <v>SE-000274804</v>
      </c>
      <c r="D3097" s="4" t="s">
        <v>11</v>
      </c>
      <c r="E3097" s="5">
        <v>0</v>
      </c>
      <c r="F3097" s="5">
        <v>0</v>
      </c>
      <c r="G3097" s="5">
        <v>0</v>
      </c>
      <c r="H3097" s="4" t="s">
        <v>11</v>
      </c>
      <c r="I3097" s="5">
        <v>0</v>
      </c>
      <c r="J3097" s="4">
        <v>45916.294189814813</v>
      </c>
    </row>
    <row r="3098" spans="1:10" x14ac:dyDescent="0.2">
      <c r="A3098" s="2" t="s">
        <v>10</v>
      </c>
      <c r="B3098" s="3" t="str">
        <f t="shared" si="58"/>
        <v>France - HCP Survey Email - June 2025</v>
      </c>
      <c r="C3098" s="3" t="str">
        <f>HYPERLINK("https://otsuka-europe-crm.veevavault.com/ui/#object/sent_email__v/VBLZ025E82GNPKI", "SE-000274805")</f>
        <v>SE-000274805</v>
      </c>
      <c r="D3098" s="4">
        <v>45916.356759259259</v>
      </c>
      <c r="E3098" s="5">
        <v>1</v>
      </c>
      <c r="F3098" s="5">
        <v>2</v>
      </c>
      <c r="G3098" s="5">
        <v>0</v>
      </c>
      <c r="H3098" s="4" t="s">
        <v>11</v>
      </c>
      <c r="I3098" s="5">
        <v>0</v>
      </c>
      <c r="J3098" s="4">
        <v>45916.294305555559</v>
      </c>
    </row>
    <row r="3099" spans="1:10" x14ac:dyDescent="0.2">
      <c r="A3099" s="2" t="s">
        <v>10</v>
      </c>
      <c r="B3099" s="3" t="str">
        <f t="shared" si="58"/>
        <v>France - HCP Survey Email - June 2025</v>
      </c>
      <c r="C3099" s="3" t="str">
        <f>HYPERLINK("https://otsuka-europe-crm.veevavault.com/ui/#object/sent_email__v/VBLZ025E82GNPKJ", "SE-000274806")</f>
        <v>SE-000274806</v>
      </c>
      <c r="D3099" s="4" t="s">
        <v>11</v>
      </c>
      <c r="E3099" s="5">
        <v>0</v>
      </c>
      <c r="F3099" s="5">
        <v>0</v>
      </c>
      <c r="G3099" s="5">
        <v>0</v>
      </c>
      <c r="H3099" s="4" t="s">
        <v>11</v>
      </c>
      <c r="I3099" s="5">
        <v>0</v>
      </c>
      <c r="J3099" s="4">
        <v>45916.294710648152</v>
      </c>
    </row>
    <row r="3100" spans="1:10" x14ac:dyDescent="0.2">
      <c r="A3100" s="2" t="s">
        <v>10</v>
      </c>
      <c r="B3100" s="3" t="str">
        <f t="shared" si="58"/>
        <v>France - HCP Survey Email - June 2025</v>
      </c>
      <c r="C3100" s="3" t="str">
        <f>HYPERLINK("https://otsuka-europe-crm.veevavault.com/ui/#object/sent_email__v/VBLZ025E82GNPKK", "SE-000274807")</f>
        <v>SE-000274807</v>
      </c>
      <c r="D3100" s="4" t="s">
        <v>11</v>
      </c>
      <c r="E3100" s="5">
        <v>0</v>
      </c>
      <c r="F3100" s="5">
        <v>0</v>
      </c>
      <c r="G3100" s="5">
        <v>0</v>
      </c>
      <c r="H3100" s="4" t="s">
        <v>11</v>
      </c>
      <c r="I3100" s="5">
        <v>0</v>
      </c>
      <c r="J3100" s="4">
        <v>45916.294861111113</v>
      </c>
    </row>
    <row r="3101" spans="1:10" x14ac:dyDescent="0.2">
      <c r="A3101" s="2" t="s">
        <v>10</v>
      </c>
      <c r="B3101" s="3" t="str">
        <f t="shared" si="58"/>
        <v>France - HCP Survey Email - June 2025</v>
      </c>
      <c r="C3101" s="3" t="str">
        <f>HYPERLINK("https://otsuka-europe-crm.veevavault.com/ui/#object/sent_email__v/VBLZ025E82GNPKL", "SE-000274808")</f>
        <v>SE-000274808</v>
      </c>
      <c r="D3101" s="4" t="s">
        <v>11</v>
      </c>
      <c r="E3101" s="5">
        <v>0</v>
      </c>
      <c r="F3101" s="5">
        <v>0</v>
      </c>
      <c r="G3101" s="5">
        <v>0</v>
      </c>
      <c r="H3101" s="4" t="s">
        <v>11</v>
      </c>
      <c r="I3101" s="5">
        <v>0</v>
      </c>
      <c r="J3101" s="4">
        <v>45916.294282407405</v>
      </c>
    </row>
    <row r="3102" spans="1:10" x14ac:dyDescent="0.2">
      <c r="A3102" s="2" t="s">
        <v>10</v>
      </c>
      <c r="B3102" s="3" t="str">
        <f t="shared" si="58"/>
        <v>France - HCP Survey Email - June 2025</v>
      </c>
      <c r="C3102" s="3" t="str">
        <f>HYPERLINK("https://otsuka-europe-crm.veevavault.com/ui/#object/sent_email__v/VBLZ025E82GNPKM", "SE-000274809")</f>
        <v>SE-000274809</v>
      </c>
      <c r="D3102" s="4" t="s">
        <v>11</v>
      </c>
      <c r="E3102" s="5">
        <v>0</v>
      </c>
      <c r="F3102" s="5">
        <v>0</v>
      </c>
      <c r="G3102" s="5">
        <v>0</v>
      </c>
      <c r="H3102" s="4" t="s">
        <v>11</v>
      </c>
      <c r="I3102" s="5">
        <v>0</v>
      </c>
      <c r="J3102" s="4">
        <v>45916.294537037036</v>
      </c>
    </row>
    <row r="3103" spans="1:10" x14ac:dyDescent="0.2">
      <c r="A3103" s="2" t="s">
        <v>10</v>
      </c>
      <c r="B3103" s="3" t="str">
        <f t="shared" si="58"/>
        <v>France - HCP Survey Email - June 2025</v>
      </c>
      <c r="C3103" s="3" t="str">
        <f>HYPERLINK("https://otsuka-europe-crm.veevavault.com/ui/#object/sent_email__v/VBLZ025E82GNPKN", "SE-000274810")</f>
        <v>SE-000274810</v>
      </c>
      <c r="D3103" s="4" t="s">
        <v>11</v>
      </c>
      <c r="E3103" s="5">
        <v>0</v>
      </c>
      <c r="F3103" s="5">
        <v>0</v>
      </c>
      <c r="G3103" s="5">
        <v>0</v>
      </c>
      <c r="H3103" s="4" t="s">
        <v>11</v>
      </c>
      <c r="I3103" s="5">
        <v>0</v>
      </c>
      <c r="J3103" s="4">
        <v>45916.294687499998</v>
      </c>
    </row>
    <row r="3104" spans="1:10" x14ac:dyDescent="0.2">
      <c r="A3104" s="2" t="s">
        <v>10</v>
      </c>
      <c r="B3104" s="3" t="str">
        <f t="shared" si="58"/>
        <v>France - HCP Survey Email - June 2025</v>
      </c>
      <c r="C3104" s="3" t="str">
        <f>HYPERLINK("https://otsuka-europe-crm.veevavault.com/ui/#object/sent_email__v/VBLZ025E82GNPKO", "SE-000274811")</f>
        <v>SE-000274811</v>
      </c>
      <c r="D3104" s="4">
        <v>45917.422210648147</v>
      </c>
      <c r="E3104" s="5">
        <v>1</v>
      </c>
      <c r="F3104" s="5">
        <v>1</v>
      </c>
      <c r="G3104" s="5">
        <v>1</v>
      </c>
      <c r="H3104" s="4">
        <v>45917.422210648147</v>
      </c>
      <c r="I3104" s="5">
        <v>1</v>
      </c>
      <c r="J3104" s="4">
        <v>45916.294965277775</v>
      </c>
    </row>
    <row r="3105" spans="1:10" x14ac:dyDescent="0.2">
      <c r="A3105" s="2" t="s">
        <v>10</v>
      </c>
      <c r="B3105" s="3" t="str">
        <f t="shared" si="58"/>
        <v>France - HCP Survey Email - June 2025</v>
      </c>
      <c r="C3105" s="3" t="str">
        <f>HYPERLINK("https://otsuka-europe-crm.veevavault.com/ui/#object/sent_email__v/VBLZ025E82GNPKP", "SE-000274812")</f>
        <v>SE-000274812</v>
      </c>
      <c r="D3105" s="4" t="s">
        <v>11</v>
      </c>
      <c r="E3105" s="5">
        <v>0</v>
      </c>
      <c r="F3105" s="5">
        <v>0</v>
      </c>
      <c r="G3105" s="5">
        <v>0</v>
      </c>
      <c r="H3105" s="4" t="s">
        <v>11</v>
      </c>
      <c r="I3105" s="5">
        <v>0</v>
      </c>
      <c r="J3105" s="4">
        <v>45916.294340277775</v>
      </c>
    </row>
    <row r="3106" spans="1:10" x14ac:dyDescent="0.2">
      <c r="A3106" s="2" t="s">
        <v>10</v>
      </c>
      <c r="B3106" s="3" t="str">
        <f t="shared" si="58"/>
        <v>France - HCP Survey Email - June 2025</v>
      </c>
      <c r="C3106" s="3" t="str">
        <f>HYPERLINK("https://otsuka-europe-crm.veevavault.com/ui/#object/sent_email__v/VBLZ025E82GNPKQ", "SE-000274813")</f>
        <v>SE-000274813</v>
      </c>
      <c r="D3106" s="4" t="s">
        <v>11</v>
      </c>
      <c r="E3106" s="5">
        <v>0</v>
      </c>
      <c r="F3106" s="5">
        <v>0</v>
      </c>
      <c r="G3106" s="5">
        <v>0</v>
      </c>
      <c r="H3106" s="4" t="s">
        <v>11</v>
      </c>
      <c r="I3106" s="5">
        <v>0</v>
      </c>
      <c r="J3106" s="4">
        <v>45916.294548611113</v>
      </c>
    </row>
    <row r="3107" spans="1:10" x14ac:dyDescent="0.2">
      <c r="A3107" s="2" t="s">
        <v>10</v>
      </c>
      <c r="B3107" s="3" t="str">
        <f t="shared" si="58"/>
        <v>France - HCP Survey Email - June 2025</v>
      </c>
      <c r="C3107" s="3" t="str">
        <f>HYPERLINK("https://otsuka-europe-crm.veevavault.com/ui/#object/sent_email__v/VBLZ025E82GNPKR", "SE-000274814")</f>
        <v>SE-000274814</v>
      </c>
      <c r="D3107" s="4" t="s">
        <v>11</v>
      </c>
      <c r="E3107" s="5">
        <v>0</v>
      </c>
      <c r="F3107" s="5">
        <v>0</v>
      </c>
      <c r="G3107" s="5">
        <v>0</v>
      </c>
      <c r="H3107" s="4" t="s">
        <v>11</v>
      </c>
      <c r="I3107" s="5">
        <v>0</v>
      </c>
      <c r="J3107" s="4">
        <v>45916.29488425926</v>
      </c>
    </row>
    <row r="3108" spans="1:10" x14ac:dyDescent="0.2">
      <c r="A3108" s="2" t="s">
        <v>10</v>
      </c>
      <c r="B3108" s="3" t="str">
        <f t="shared" si="58"/>
        <v>France - HCP Survey Email - June 2025</v>
      </c>
      <c r="C3108" s="3" t="str">
        <f>HYPERLINK("https://otsuka-europe-crm.veevavault.com/ui/#object/sent_email__v/VBLZ025E82GNPKT", "SE-000274816")</f>
        <v>SE-000274816</v>
      </c>
      <c r="D3108" s="4" t="s">
        <v>11</v>
      </c>
      <c r="E3108" s="5">
        <v>0</v>
      </c>
      <c r="F3108" s="5">
        <v>0</v>
      </c>
      <c r="G3108" s="5">
        <v>0</v>
      </c>
      <c r="H3108" s="4" t="s">
        <v>11</v>
      </c>
      <c r="I3108" s="5">
        <v>0</v>
      </c>
      <c r="J3108" s="4">
        <v>45916.294340277775</v>
      </c>
    </row>
    <row r="3109" spans="1:10" x14ac:dyDescent="0.2">
      <c r="A3109" s="2" t="s">
        <v>10</v>
      </c>
      <c r="B3109" s="3" t="str">
        <f t="shared" si="58"/>
        <v>France - HCP Survey Email - June 2025</v>
      </c>
      <c r="C3109" s="3" t="str">
        <f>HYPERLINK("https://otsuka-europe-crm.veevavault.com/ui/#object/sent_email__v/VBLZ025E82GNPKU", "SE-000274817")</f>
        <v>SE-000274817</v>
      </c>
      <c r="D3109" s="4" t="s">
        <v>11</v>
      </c>
      <c r="E3109" s="5">
        <v>0</v>
      </c>
      <c r="F3109" s="5">
        <v>0</v>
      </c>
      <c r="G3109" s="5">
        <v>0</v>
      </c>
      <c r="H3109" s="4" t="s">
        <v>11</v>
      </c>
      <c r="I3109" s="5">
        <v>0</v>
      </c>
      <c r="J3109" s="4">
        <v>45916.294641203705</v>
      </c>
    </row>
    <row r="3110" spans="1:10" x14ac:dyDescent="0.2">
      <c r="A3110" s="2" t="s">
        <v>10</v>
      </c>
      <c r="B3110" s="3" t="str">
        <f t="shared" si="58"/>
        <v>France - HCP Survey Email - June 2025</v>
      </c>
      <c r="C3110" s="3" t="str">
        <f>HYPERLINK("https://otsuka-europe-crm.veevavault.com/ui/#object/sent_email__v/VBLZ025E82GNPKV", "SE-000274818")</f>
        <v>SE-000274818</v>
      </c>
      <c r="D3110" s="4" t="s">
        <v>11</v>
      </c>
      <c r="E3110" s="5">
        <v>0</v>
      </c>
      <c r="F3110" s="5">
        <v>0</v>
      </c>
      <c r="G3110" s="5">
        <v>0</v>
      </c>
      <c r="H3110" s="4" t="s">
        <v>11</v>
      </c>
      <c r="I3110" s="5">
        <v>0</v>
      </c>
      <c r="J3110" s="4">
        <v>45916.294918981483</v>
      </c>
    </row>
    <row r="3111" spans="1:10" x14ac:dyDescent="0.2">
      <c r="A3111" s="2" t="s">
        <v>10</v>
      </c>
      <c r="B3111" s="3" t="str">
        <f t="shared" si="58"/>
        <v>France - HCP Survey Email - June 2025</v>
      </c>
      <c r="C3111" s="3" t="str">
        <f>HYPERLINK("https://otsuka-europe-crm.veevavault.com/ui/#object/sent_email__v/VBLZ025E82GNPKW", "SE-000274819")</f>
        <v>SE-000274819</v>
      </c>
      <c r="D3111" s="4" t="s">
        <v>11</v>
      </c>
      <c r="E3111" s="5">
        <v>0</v>
      </c>
      <c r="F3111" s="5">
        <v>0</v>
      </c>
      <c r="G3111" s="5">
        <v>0</v>
      </c>
      <c r="H3111" s="4" t="s">
        <v>11</v>
      </c>
      <c r="I3111" s="5">
        <v>0</v>
      </c>
      <c r="J3111" s="4">
        <v>45916.294293981482</v>
      </c>
    </row>
    <row r="3112" spans="1:10" x14ac:dyDescent="0.2">
      <c r="A3112" s="2" t="s">
        <v>10</v>
      </c>
      <c r="B3112" s="3" t="str">
        <f t="shared" si="58"/>
        <v>France - HCP Survey Email - June 2025</v>
      </c>
      <c r="C3112" s="3" t="str">
        <f>HYPERLINK("https://otsuka-europe-crm.veevavault.com/ui/#object/sent_email__v/VBLZ025E82GNPKY", "SE-000274821")</f>
        <v>SE-000274821</v>
      </c>
      <c r="D3112" s="4" t="s">
        <v>11</v>
      </c>
      <c r="E3112" s="5">
        <v>0</v>
      </c>
      <c r="F3112" s="5">
        <v>0</v>
      </c>
      <c r="G3112" s="5">
        <v>0</v>
      </c>
      <c r="H3112" s="4" t="s">
        <v>11</v>
      </c>
      <c r="I3112" s="5">
        <v>0</v>
      </c>
      <c r="J3112" s="4">
        <v>45916.294733796298</v>
      </c>
    </row>
    <row r="3113" spans="1:10" x14ac:dyDescent="0.2">
      <c r="A3113" s="2" t="s">
        <v>10</v>
      </c>
      <c r="B3113" s="3" t="str">
        <f t="shared" si="58"/>
        <v>France - HCP Survey Email - June 2025</v>
      </c>
      <c r="C3113" s="3" t="str">
        <f>HYPERLINK("https://otsuka-europe-crm.veevavault.com/ui/#object/sent_email__v/VBLZ025E82GNPKZ", "SE-000274822")</f>
        <v>SE-000274822</v>
      </c>
      <c r="D3113" s="4" t="s">
        <v>11</v>
      </c>
      <c r="E3113" s="5">
        <v>0</v>
      </c>
      <c r="F3113" s="5">
        <v>0</v>
      </c>
      <c r="G3113" s="5">
        <v>0</v>
      </c>
      <c r="H3113" s="4" t="s">
        <v>11</v>
      </c>
      <c r="I3113" s="5">
        <v>0</v>
      </c>
      <c r="J3113" s="4">
        <v>45916.294930555552</v>
      </c>
    </row>
    <row r="3114" spans="1:10" x14ac:dyDescent="0.2">
      <c r="A3114" s="2" t="s">
        <v>10</v>
      </c>
      <c r="B3114" s="3" t="str">
        <f t="shared" si="58"/>
        <v>France - HCP Survey Email - June 2025</v>
      </c>
      <c r="C3114" s="3" t="str">
        <f>HYPERLINK("https://otsuka-europe-crm.veevavault.com/ui/#object/sent_email__v/VBLZ025E82GNPL0", "SE-000274823")</f>
        <v>SE-000274823</v>
      </c>
      <c r="D3114" s="4">
        <v>45916.294560185182</v>
      </c>
      <c r="E3114" s="5">
        <v>1</v>
      </c>
      <c r="F3114" s="5">
        <v>2</v>
      </c>
      <c r="G3114" s="5">
        <v>0</v>
      </c>
      <c r="H3114" s="4" t="s">
        <v>11</v>
      </c>
      <c r="I3114" s="5">
        <v>0</v>
      </c>
      <c r="J3114" s="4">
        <v>45916.294386574074</v>
      </c>
    </row>
    <row r="3115" spans="1:10" x14ac:dyDescent="0.2">
      <c r="A3115" s="2" t="s">
        <v>10</v>
      </c>
      <c r="B3115" s="3" t="str">
        <f t="shared" si="58"/>
        <v>France - HCP Survey Email - June 2025</v>
      </c>
      <c r="C3115" s="3" t="str">
        <f>HYPERLINK("https://otsuka-europe-crm.veevavault.com/ui/#object/sent_email__v/VBLZ025E82GNPL1", "SE-000274824")</f>
        <v>SE-000274824</v>
      </c>
      <c r="D3115" s="4" t="s">
        <v>11</v>
      </c>
      <c r="E3115" s="5">
        <v>0</v>
      </c>
      <c r="F3115" s="5">
        <v>0</v>
      </c>
      <c r="G3115" s="5">
        <v>0</v>
      </c>
      <c r="H3115" s="4" t="s">
        <v>11</v>
      </c>
      <c r="I3115" s="5">
        <v>0</v>
      </c>
      <c r="J3115" s="4">
        <v>45916.294502314813</v>
      </c>
    </row>
    <row r="3116" spans="1:10" x14ac:dyDescent="0.2">
      <c r="A3116" s="2" t="s">
        <v>10</v>
      </c>
      <c r="B3116" s="3" t="str">
        <f t="shared" si="58"/>
        <v>France - HCP Survey Email - June 2025</v>
      </c>
      <c r="C3116" s="3" t="str">
        <f>HYPERLINK("https://otsuka-europe-crm.veevavault.com/ui/#object/sent_email__v/VBLZ025E82GNPL2", "SE-000274825")</f>
        <v>SE-000274825</v>
      </c>
      <c r="D3116" s="4" t="s">
        <v>11</v>
      </c>
      <c r="E3116" s="5">
        <v>0</v>
      </c>
      <c r="F3116" s="5">
        <v>0</v>
      </c>
      <c r="G3116" s="5">
        <v>0</v>
      </c>
      <c r="H3116" s="4" t="s">
        <v>11</v>
      </c>
      <c r="I3116" s="5">
        <v>0</v>
      </c>
      <c r="J3116" s="4">
        <v>45916.294560185182</v>
      </c>
    </row>
    <row r="3117" spans="1:10" x14ac:dyDescent="0.2">
      <c r="A3117" s="2" t="s">
        <v>10</v>
      </c>
      <c r="B3117" s="3" t="str">
        <f t="shared" si="58"/>
        <v>France - HCP Survey Email - June 2025</v>
      </c>
      <c r="C3117" s="3" t="str">
        <f>HYPERLINK("https://otsuka-europe-crm.veevavault.com/ui/#object/sent_email__v/VBLZ025E82GNPL3", "SE-000274826")</f>
        <v>SE-000274826</v>
      </c>
      <c r="D3117" s="4" t="s">
        <v>11</v>
      </c>
      <c r="E3117" s="5">
        <v>0</v>
      </c>
      <c r="F3117" s="5">
        <v>0</v>
      </c>
      <c r="G3117" s="5">
        <v>0</v>
      </c>
      <c r="H3117" s="4" t="s">
        <v>11</v>
      </c>
      <c r="I3117" s="5">
        <v>0</v>
      </c>
      <c r="J3117" s="4">
        <v>45916.294664351852</v>
      </c>
    </row>
    <row r="3118" spans="1:10" x14ac:dyDescent="0.2">
      <c r="A3118" s="2" t="s">
        <v>10</v>
      </c>
      <c r="B3118" s="3" t="str">
        <f t="shared" si="58"/>
        <v>France - HCP Survey Email - June 2025</v>
      </c>
      <c r="C3118" s="3" t="str">
        <f>HYPERLINK("https://otsuka-europe-crm.veevavault.com/ui/#object/sent_email__v/VBLZ025E82GNPL4", "SE-000274827")</f>
        <v>SE-000274827</v>
      </c>
      <c r="D3118" s="4" t="s">
        <v>11</v>
      </c>
      <c r="E3118" s="5">
        <v>0</v>
      </c>
      <c r="F3118" s="5">
        <v>0</v>
      </c>
      <c r="G3118" s="5">
        <v>0</v>
      </c>
      <c r="H3118" s="4" t="s">
        <v>11</v>
      </c>
      <c r="I3118" s="5">
        <v>0</v>
      </c>
      <c r="J3118" s="4">
        <v>45916.295034722221</v>
      </c>
    </row>
    <row r="3119" spans="1:10" x14ac:dyDescent="0.2">
      <c r="A3119" s="2" t="s">
        <v>10</v>
      </c>
      <c r="B3119" s="3" t="str">
        <f t="shared" si="58"/>
        <v>France - HCP Survey Email - June 2025</v>
      </c>
      <c r="C3119" s="3" t="str">
        <f>HYPERLINK("https://otsuka-europe-crm.veevavault.com/ui/#object/sent_email__v/VBLZ025E82GNPL5", "SE-000274828")</f>
        <v>SE-000274828</v>
      </c>
      <c r="D3119" s="4" t="s">
        <v>11</v>
      </c>
      <c r="E3119" s="5">
        <v>0</v>
      </c>
      <c r="F3119" s="5">
        <v>0</v>
      </c>
      <c r="G3119" s="5">
        <v>0</v>
      </c>
      <c r="H3119" s="4" t="s">
        <v>11</v>
      </c>
      <c r="I3119" s="5">
        <v>0</v>
      </c>
      <c r="J3119" s="4">
        <v>45916.294328703705</v>
      </c>
    </row>
    <row r="3120" spans="1:10" x14ac:dyDescent="0.2">
      <c r="A3120" s="2" t="s">
        <v>10</v>
      </c>
      <c r="B3120" s="3" t="str">
        <f t="shared" si="58"/>
        <v>France - HCP Survey Email - June 2025</v>
      </c>
      <c r="C3120" s="3" t="str">
        <f>HYPERLINK("https://otsuka-europe-crm.veevavault.com/ui/#object/sent_email__v/VBLZ025E82GNPL6", "SE-000274829")</f>
        <v>SE-000274829</v>
      </c>
      <c r="D3120" s="4" t="s">
        <v>11</v>
      </c>
      <c r="E3120" s="5">
        <v>0</v>
      </c>
      <c r="F3120" s="5">
        <v>0</v>
      </c>
      <c r="G3120" s="5">
        <v>0</v>
      </c>
      <c r="H3120" s="4" t="s">
        <v>11</v>
      </c>
      <c r="I3120" s="5">
        <v>0</v>
      </c>
      <c r="J3120" s="4">
        <v>45916.294490740744</v>
      </c>
    </row>
    <row r="3121" spans="1:10" x14ac:dyDescent="0.2">
      <c r="A3121" s="2" t="s">
        <v>10</v>
      </c>
      <c r="B3121" s="3" t="str">
        <f t="shared" si="58"/>
        <v>France - HCP Survey Email - June 2025</v>
      </c>
      <c r="C3121" s="3" t="str">
        <f>HYPERLINK("https://otsuka-europe-crm.veevavault.com/ui/#object/sent_email__v/VBLZ025E82GNPL7", "SE-000274830")</f>
        <v>SE-000274830</v>
      </c>
      <c r="D3121" s="4" t="s">
        <v>11</v>
      </c>
      <c r="E3121" s="5">
        <v>0</v>
      </c>
      <c r="F3121" s="5">
        <v>0</v>
      </c>
      <c r="G3121" s="5">
        <v>0</v>
      </c>
      <c r="H3121" s="4" t="s">
        <v>11</v>
      </c>
      <c r="I3121" s="5">
        <v>0</v>
      </c>
      <c r="J3121" s="4">
        <v>45916.29482638889</v>
      </c>
    </row>
    <row r="3122" spans="1:10" x14ac:dyDescent="0.2">
      <c r="A3122" s="2" t="s">
        <v>10</v>
      </c>
      <c r="B3122" s="3" t="str">
        <f t="shared" si="58"/>
        <v>France - HCP Survey Email - June 2025</v>
      </c>
      <c r="C3122" s="3" t="str">
        <f>HYPERLINK("https://otsuka-europe-crm.veevavault.com/ui/#object/sent_email__v/VBLZ025E82GNPL8", "SE-000274831")</f>
        <v>SE-000274831</v>
      </c>
      <c r="D3122" s="4" t="s">
        <v>11</v>
      </c>
      <c r="E3122" s="5">
        <v>0</v>
      </c>
      <c r="F3122" s="5">
        <v>0</v>
      </c>
      <c r="G3122" s="5">
        <v>0</v>
      </c>
      <c r="H3122" s="4" t="s">
        <v>11</v>
      </c>
      <c r="I3122" s="5">
        <v>0</v>
      </c>
      <c r="J3122" s="4">
        <v>45916.294212962966</v>
      </c>
    </row>
    <row r="3123" spans="1:10" x14ac:dyDescent="0.2">
      <c r="A3123" s="2" t="s">
        <v>10</v>
      </c>
      <c r="B3123" s="3" t="str">
        <f t="shared" si="58"/>
        <v>France - HCP Survey Email - June 2025</v>
      </c>
      <c r="C3123" s="3" t="str">
        <f>HYPERLINK("https://otsuka-europe-crm.veevavault.com/ui/#object/sent_email__v/VBLZ025E82GNPL9", "SE-000274832")</f>
        <v>SE-000274832</v>
      </c>
      <c r="D3123" s="4" t="s">
        <v>11</v>
      </c>
      <c r="E3123" s="5">
        <v>0</v>
      </c>
      <c r="F3123" s="5">
        <v>0</v>
      </c>
      <c r="G3123" s="5">
        <v>0</v>
      </c>
      <c r="H3123" s="4" t="s">
        <v>11</v>
      </c>
      <c r="I3123" s="5">
        <v>0</v>
      </c>
      <c r="J3123" s="4">
        <v>45916.294386574074</v>
      </c>
    </row>
    <row r="3124" spans="1:10" x14ac:dyDescent="0.2">
      <c r="A3124" s="2" t="s">
        <v>10</v>
      </c>
      <c r="B3124" s="3" t="str">
        <f t="shared" si="58"/>
        <v>France - HCP Survey Email - June 2025</v>
      </c>
      <c r="C3124" s="3" t="str">
        <f>HYPERLINK("https://otsuka-europe-crm.veevavault.com/ui/#object/sent_email__v/VBLZ025E82GNPLA", "SE-000274833")</f>
        <v>SE-000274833</v>
      </c>
      <c r="D3124" s="4" t="s">
        <v>11</v>
      </c>
      <c r="E3124" s="5">
        <v>0</v>
      </c>
      <c r="F3124" s="5">
        <v>0</v>
      </c>
      <c r="G3124" s="5">
        <v>0</v>
      </c>
      <c r="H3124" s="4" t="s">
        <v>11</v>
      </c>
      <c r="I3124" s="5">
        <v>0</v>
      </c>
      <c r="J3124" s="4">
        <v>45916.294652777775</v>
      </c>
    </row>
    <row r="3125" spans="1:10" x14ac:dyDescent="0.2">
      <c r="A3125" s="2" t="s">
        <v>10</v>
      </c>
      <c r="B3125" s="3" t="str">
        <f t="shared" si="58"/>
        <v>France - HCP Survey Email - June 2025</v>
      </c>
      <c r="C3125" s="3" t="str">
        <f>HYPERLINK("https://otsuka-europe-crm.veevavault.com/ui/#object/sent_email__v/VBLZ025E82GNPLB", "SE-000274834")</f>
        <v>SE-000274834</v>
      </c>
      <c r="D3125" s="4" t="s">
        <v>11</v>
      </c>
      <c r="E3125" s="5">
        <v>0</v>
      </c>
      <c r="F3125" s="5">
        <v>0</v>
      </c>
      <c r="G3125" s="5">
        <v>0</v>
      </c>
      <c r="H3125" s="4" t="s">
        <v>11</v>
      </c>
      <c r="I3125" s="5">
        <v>0</v>
      </c>
      <c r="J3125" s="4">
        <v>45916.294849537036</v>
      </c>
    </row>
    <row r="3126" spans="1:10" x14ac:dyDescent="0.2">
      <c r="A3126" s="2" t="s">
        <v>10</v>
      </c>
      <c r="B3126" s="3" t="str">
        <f t="shared" si="58"/>
        <v>France - HCP Survey Email - June 2025</v>
      </c>
      <c r="C3126" s="3" t="str">
        <f>HYPERLINK("https://otsuka-europe-crm.veevavault.com/ui/#object/sent_email__v/VBLZ025E82GNPLC", "SE-000274835")</f>
        <v>SE-000274835</v>
      </c>
      <c r="D3126" s="4" t="s">
        <v>11</v>
      </c>
      <c r="E3126" s="5">
        <v>0</v>
      </c>
      <c r="F3126" s="5">
        <v>0</v>
      </c>
      <c r="G3126" s="5">
        <v>0</v>
      </c>
      <c r="H3126" s="4" t="s">
        <v>11</v>
      </c>
      <c r="I3126" s="5">
        <v>0</v>
      </c>
      <c r="J3126" s="4">
        <v>45916.294293981482</v>
      </c>
    </row>
    <row r="3127" spans="1:10" x14ac:dyDescent="0.2">
      <c r="A3127" s="2" t="s">
        <v>10</v>
      </c>
      <c r="B3127" s="3" t="str">
        <f t="shared" si="58"/>
        <v>France - HCP Survey Email - June 2025</v>
      </c>
      <c r="C3127" s="3" t="str">
        <f>HYPERLINK("https://otsuka-europe-crm.veevavault.com/ui/#object/sent_email__v/VBLZ025E82GNPLE", "SE-000274837")</f>
        <v>SE-000274837</v>
      </c>
      <c r="D3127" s="4">
        <v>45916.576956018522</v>
      </c>
      <c r="E3127" s="5">
        <v>1</v>
      </c>
      <c r="F3127" s="5">
        <v>2</v>
      </c>
      <c r="G3127" s="5">
        <v>0</v>
      </c>
      <c r="H3127" s="4" t="s">
        <v>11</v>
      </c>
      <c r="I3127" s="5">
        <v>0</v>
      </c>
      <c r="J3127" s="4">
        <v>45916.294652777775</v>
      </c>
    </row>
    <row r="3128" spans="1:10" x14ac:dyDescent="0.2">
      <c r="A3128" s="2" t="s">
        <v>10</v>
      </c>
      <c r="B3128" s="3" t="str">
        <f t="shared" si="58"/>
        <v>France - HCP Survey Email - June 2025</v>
      </c>
      <c r="C3128" s="3" t="str">
        <f>HYPERLINK("https://otsuka-europe-crm.veevavault.com/ui/#object/sent_email__v/VBLZ025E82GNPLF", "SE-000274838")</f>
        <v>SE-000274838</v>
      </c>
      <c r="D3128" s="4">
        <v>45918.546400462961</v>
      </c>
      <c r="E3128" s="5">
        <v>1</v>
      </c>
      <c r="F3128" s="5">
        <v>1</v>
      </c>
      <c r="G3128" s="5">
        <v>1</v>
      </c>
      <c r="H3128" s="4">
        <v>45918.546400462961</v>
      </c>
      <c r="I3128" s="5">
        <v>1</v>
      </c>
      <c r="J3128" s="4">
        <v>45916.295057870368</v>
      </c>
    </row>
    <row r="3129" spans="1:10" x14ac:dyDescent="0.2">
      <c r="A3129" s="2" t="s">
        <v>10</v>
      </c>
      <c r="B3129" s="3" t="str">
        <f t="shared" si="58"/>
        <v>France - HCP Survey Email - June 2025</v>
      </c>
      <c r="C3129" s="3" t="str">
        <f>HYPERLINK("https://otsuka-europe-crm.veevavault.com/ui/#object/sent_email__v/VBLZ025E82GNPLG", "SE-000274839")</f>
        <v>SE-000274839</v>
      </c>
      <c r="D3129" s="4" t="s">
        <v>11</v>
      </c>
      <c r="E3129" s="5">
        <v>0</v>
      </c>
      <c r="F3129" s="5">
        <v>0</v>
      </c>
      <c r="G3129" s="5">
        <v>0</v>
      </c>
      <c r="H3129" s="4" t="s">
        <v>11</v>
      </c>
      <c r="I3129" s="5">
        <v>0</v>
      </c>
      <c r="J3129" s="4">
        <v>45916.294374999998</v>
      </c>
    </row>
    <row r="3130" spans="1:10" x14ac:dyDescent="0.2">
      <c r="A3130" s="2" t="s">
        <v>10</v>
      </c>
      <c r="B3130" s="3" t="str">
        <f t="shared" si="58"/>
        <v>France - HCP Survey Email - June 2025</v>
      </c>
      <c r="C3130" s="3" t="str">
        <f>HYPERLINK("https://otsuka-europe-crm.veevavault.com/ui/#object/sent_email__v/VBLZ025E82GNPLH", "SE-000274840")</f>
        <v>SE-000274840</v>
      </c>
      <c r="D3130" s="4">
        <v>45916.294537037036</v>
      </c>
      <c r="E3130" s="5">
        <v>1</v>
      </c>
      <c r="F3130" s="5">
        <v>1</v>
      </c>
      <c r="G3130" s="5">
        <v>1</v>
      </c>
      <c r="H3130" s="4">
        <v>45916.294537037036</v>
      </c>
      <c r="I3130" s="5">
        <v>1</v>
      </c>
      <c r="J3130" s="4">
        <v>45916.29451388889</v>
      </c>
    </row>
    <row r="3131" spans="1:10" x14ac:dyDescent="0.2">
      <c r="A3131" s="2" t="s">
        <v>10</v>
      </c>
      <c r="B3131" s="3" t="str">
        <f t="shared" si="58"/>
        <v>France - HCP Survey Email - June 2025</v>
      </c>
      <c r="C3131" s="3" t="str">
        <f>HYPERLINK("https://otsuka-europe-crm.veevavault.com/ui/#object/sent_email__v/VBLZ025E82GNPLI", "SE-000274841")</f>
        <v>SE-000274841</v>
      </c>
      <c r="D3131" s="4" t="s">
        <v>11</v>
      </c>
      <c r="E3131" s="5">
        <v>0</v>
      </c>
      <c r="F3131" s="5">
        <v>0</v>
      </c>
      <c r="G3131" s="5">
        <v>0</v>
      </c>
      <c r="H3131" s="4" t="s">
        <v>11</v>
      </c>
      <c r="I3131" s="5">
        <v>0</v>
      </c>
      <c r="J3131" s="4">
        <v>45916.294942129629</v>
      </c>
    </row>
    <row r="3132" spans="1:10" x14ac:dyDescent="0.2">
      <c r="A3132" s="2" t="s">
        <v>10</v>
      </c>
      <c r="B3132" s="3" t="str">
        <f t="shared" si="58"/>
        <v>France - HCP Survey Email - June 2025</v>
      </c>
      <c r="C3132" s="3" t="str">
        <f>HYPERLINK("https://otsuka-europe-crm.veevavault.com/ui/#object/sent_email__v/VBLZ025E82GNPLJ", "SE-000274842")</f>
        <v>SE-000274842</v>
      </c>
      <c r="D3132" s="4" t="s">
        <v>11</v>
      </c>
      <c r="E3132" s="5">
        <v>0</v>
      </c>
      <c r="F3132" s="5">
        <v>0</v>
      </c>
      <c r="G3132" s="5">
        <v>0</v>
      </c>
      <c r="H3132" s="4" t="s">
        <v>11</v>
      </c>
      <c r="I3132" s="5">
        <v>0</v>
      </c>
      <c r="J3132" s="4">
        <v>45916.294212962966</v>
      </c>
    </row>
    <row r="3133" spans="1:10" x14ac:dyDescent="0.2">
      <c r="A3133" s="2" t="s">
        <v>10</v>
      </c>
      <c r="B3133" s="3" t="str">
        <f t="shared" si="58"/>
        <v>France - HCP Survey Email - June 2025</v>
      </c>
      <c r="C3133" s="3" t="str">
        <f>HYPERLINK("https://otsuka-europe-crm.veevavault.com/ui/#object/sent_email__v/VBLZ025E82GNPLK", "SE-000274843")</f>
        <v>SE-000274843</v>
      </c>
      <c r="D3133" s="4" t="s">
        <v>11</v>
      </c>
      <c r="E3133" s="5">
        <v>0</v>
      </c>
      <c r="F3133" s="5">
        <v>0</v>
      </c>
      <c r="G3133" s="5">
        <v>0</v>
      </c>
      <c r="H3133" s="4" t="s">
        <v>11</v>
      </c>
      <c r="I3133" s="5">
        <v>0</v>
      </c>
      <c r="J3133" s="4">
        <v>45916.29446759259</v>
      </c>
    </row>
    <row r="3134" spans="1:10" x14ac:dyDescent="0.2">
      <c r="A3134" s="2" t="s">
        <v>10</v>
      </c>
      <c r="B3134" s="3" t="str">
        <f t="shared" si="58"/>
        <v>France - HCP Survey Email - June 2025</v>
      </c>
      <c r="C3134" s="3" t="str">
        <f>HYPERLINK("https://otsuka-europe-crm.veevavault.com/ui/#object/sent_email__v/VBLZ025E82GNPLL", "SE-000274844")</f>
        <v>SE-000274844</v>
      </c>
      <c r="D3134" s="4" t="s">
        <v>11</v>
      </c>
      <c r="E3134" s="5">
        <v>0</v>
      </c>
      <c r="F3134" s="5">
        <v>0</v>
      </c>
      <c r="G3134" s="5">
        <v>0</v>
      </c>
      <c r="H3134" s="4" t="s">
        <v>11</v>
      </c>
      <c r="I3134" s="5">
        <v>0</v>
      </c>
      <c r="J3134" s="4">
        <v>45916.294710648152</v>
      </c>
    </row>
    <row r="3135" spans="1:10" x14ac:dyDescent="0.2">
      <c r="A3135" s="2" t="s">
        <v>10</v>
      </c>
      <c r="B3135" s="3" t="str">
        <f t="shared" si="58"/>
        <v>France - HCP Survey Email - June 2025</v>
      </c>
      <c r="C3135" s="3" t="str">
        <f>HYPERLINK("https://otsuka-europe-crm.veevavault.com/ui/#object/sent_email__v/VBLZ025E82GNPLM", "SE-000274845")</f>
        <v>SE-000274845</v>
      </c>
      <c r="D3135" s="4" t="s">
        <v>11</v>
      </c>
      <c r="E3135" s="5">
        <v>0</v>
      </c>
      <c r="F3135" s="5">
        <v>0</v>
      </c>
      <c r="G3135" s="5">
        <v>0</v>
      </c>
      <c r="H3135" s="4" t="s">
        <v>11</v>
      </c>
      <c r="I3135" s="5">
        <v>0</v>
      </c>
      <c r="J3135" s="4">
        <v>45916.29483796296</v>
      </c>
    </row>
    <row r="3136" spans="1:10" x14ac:dyDescent="0.2">
      <c r="A3136" s="2" t="s">
        <v>10</v>
      </c>
      <c r="B3136" s="3" t="str">
        <f t="shared" si="58"/>
        <v>France - HCP Survey Email - June 2025</v>
      </c>
      <c r="C3136" s="3" t="str">
        <f>HYPERLINK("https://otsuka-europe-crm.veevavault.com/ui/#object/sent_email__v/VBLZ025E82GNPLN", "SE-000274846")</f>
        <v>SE-000274846</v>
      </c>
      <c r="D3136" s="4">
        <v>45919.233877314815</v>
      </c>
      <c r="E3136" s="5">
        <v>1</v>
      </c>
      <c r="F3136" s="5">
        <v>2</v>
      </c>
      <c r="G3136" s="5">
        <v>0</v>
      </c>
      <c r="H3136" s="4" t="s">
        <v>11</v>
      </c>
      <c r="I3136" s="5">
        <v>0</v>
      </c>
      <c r="J3136" s="4">
        <v>45916.294293981482</v>
      </c>
    </row>
    <row r="3137" spans="1:10" x14ac:dyDescent="0.2">
      <c r="A3137" s="2" t="s">
        <v>10</v>
      </c>
      <c r="B3137" s="3" t="str">
        <f t="shared" ref="B3137:B3200" si="59">HYPERLINK("https://otsuka-europe-crm.veevavault.com/ui/#object/approved_document__v/V5OZ025E82TMV97", "France - HCP Survey Email - June 2025")</f>
        <v>France - HCP Survey Email - June 2025</v>
      </c>
      <c r="C3137" s="3" t="str">
        <f>HYPERLINK("https://otsuka-europe-crm.veevavault.com/ui/#object/sent_email__v/VBLZ025E82GNPLO", "SE-000274847")</f>
        <v>SE-000274847</v>
      </c>
      <c r="D3137" s="4" t="s">
        <v>11</v>
      </c>
      <c r="E3137" s="5">
        <v>0</v>
      </c>
      <c r="F3137" s="5">
        <v>0</v>
      </c>
      <c r="G3137" s="5">
        <v>0</v>
      </c>
      <c r="H3137" s="4" t="s">
        <v>11</v>
      </c>
      <c r="I3137" s="5">
        <v>0</v>
      </c>
      <c r="J3137" s="4">
        <v>45916.29451388889</v>
      </c>
    </row>
    <row r="3138" spans="1:10" x14ac:dyDescent="0.2">
      <c r="A3138" s="2" t="s">
        <v>10</v>
      </c>
      <c r="B3138" s="3" t="str">
        <f t="shared" si="59"/>
        <v>France - HCP Survey Email - June 2025</v>
      </c>
      <c r="C3138" s="3" t="str">
        <f>HYPERLINK("https://otsuka-europe-crm.veevavault.com/ui/#object/sent_email__v/VBLZ025E82GNPLP", "SE-000274848")</f>
        <v>SE-000274848</v>
      </c>
      <c r="D3138" s="4" t="s">
        <v>11</v>
      </c>
      <c r="E3138" s="5">
        <v>0</v>
      </c>
      <c r="F3138" s="5">
        <v>0</v>
      </c>
      <c r="G3138" s="5">
        <v>0</v>
      </c>
      <c r="H3138" s="4" t="s">
        <v>11</v>
      </c>
      <c r="I3138" s="5">
        <v>0</v>
      </c>
      <c r="J3138" s="4">
        <v>45916.294699074075</v>
      </c>
    </row>
    <row r="3139" spans="1:10" x14ac:dyDescent="0.2">
      <c r="A3139" s="2" t="s">
        <v>10</v>
      </c>
      <c r="B3139" s="3" t="str">
        <f t="shared" si="59"/>
        <v>France - HCP Survey Email - June 2025</v>
      </c>
      <c r="C3139" s="3" t="str">
        <f>HYPERLINK("https://otsuka-europe-crm.veevavault.com/ui/#object/sent_email__v/VBLZ025E82GNPLQ", "SE-000274849")</f>
        <v>SE-000274849</v>
      </c>
      <c r="D3139" s="4" t="s">
        <v>11</v>
      </c>
      <c r="E3139" s="5">
        <v>0</v>
      </c>
      <c r="F3139" s="5">
        <v>0</v>
      </c>
      <c r="G3139" s="5">
        <v>0</v>
      </c>
      <c r="H3139" s="4" t="s">
        <v>11</v>
      </c>
      <c r="I3139" s="5">
        <v>0</v>
      </c>
      <c r="J3139" s="4">
        <v>45916.294942129629</v>
      </c>
    </row>
    <row r="3140" spans="1:10" x14ac:dyDescent="0.2">
      <c r="A3140" s="2" t="s">
        <v>10</v>
      </c>
      <c r="B3140" s="3" t="str">
        <f t="shared" si="59"/>
        <v>France - HCP Survey Email - June 2025</v>
      </c>
      <c r="C3140" s="3" t="str">
        <f>HYPERLINK("https://otsuka-europe-crm.veevavault.com/ui/#object/sent_email__v/VBLZ025E82GNPLR", "SE-000274850")</f>
        <v>SE-000274850</v>
      </c>
      <c r="D3140" s="4" t="s">
        <v>11</v>
      </c>
      <c r="E3140" s="5">
        <v>0</v>
      </c>
      <c r="F3140" s="5">
        <v>0</v>
      </c>
      <c r="G3140" s="5">
        <v>0</v>
      </c>
      <c r="H3140" s="4" t="s">
        <v>11</v>
      </c>
      <c r="I3140" s="5">
        <v>0</v>
      </c>
      <c r="J3140" s="4">
        <v>45916.294374999998</v>
      </c>
    </row>
    <row r="3141" spans="1:10" x14ac:dyDescent="0.2">
      <c r="A3141" s="2" t="s">
        <v>10</v>
      </c>
      <c r="B3141" s="3" t="str">
        <f t="shared" si="59"/>
        <v>France - HCP Survey Email - June 2025</v>
      </c>
      <c r="C3141" s="3" t="str">
        <f>HYPERLINK("https://otsuka-europe-crm.veevavault.com/ui/#object/sent_email__v/VBLZ025E82GNPLS", "SE-000274851")</f>
        <v>SE-000274851</v>
      </c>
      <c r="D3141" s="4" t="s">
        <v>11</v>
      </c>
      <c r="E3141" s="5">
        <v>0</v>
      </c>
      <c r="F3141" s="5">
        <v>0</v>
      </c>
      <c r="G3141" s="5">
        <v>0</v>
      </c>
      <c r="H3141" s="4" t="s">
        <v>11</v>
      </c>
      <c r="I3141" s="5">
        <v>0</v>
      </c>
      <c r="J3141" s="4">
        <v>45916.294583333336</v>
      </c>
    </row>
    <row r="3142" spans="1:10" x14ac:dyDescent="0.2">
      <c r="A3142" s="2" t="s">
        <v>10</v>
      </c>
      <c r="B3142" s="3" t="str">
        <f t="shared" si="59"/>
        <v>France - HCP Survey Email - June 2025</v>
      </c>
      <c r="C3142" s="3" t="str">
        <f>HYPERLINK("https://otsuka-europe-crm.veevavault.com/ui/#object/sent_email__v/VBLZ025E82GNPLT", "SE-000274852")</f>
        <v>SE-000274852</v>
      </c>
      <c r="D3142" s="4">
        <v>45916.685231481482</v>
      </c>
      <c r="E3142" s="5">
        <v>1</v>
      </c>
      <c r="F3142" s="5">
        <v>2</v>
      </c>
      <c r="G3142" s="5">
        <v>0</v>
      </c>
      <c r="H3142" s="4" t="s">
        <v>11</v>
      </c>
      <c r="I3142" s="5">
        <v>0</v>
      </c>
      <c r="J3142" s="4">
        <v>45916.294895833336</v>
      </c>
    </row>
    <row r="3143" spans="1:10" x14ac:dyDescent="0.2">
      <c r="A3143" s="2" t="s">
        <v>10</v>
      </c>
      <c r="B3143" s="3" t="str">
        <f t="shared" si="59"/>
        <v>France - HCP Survey Email - June 2025</v>
      </c>
      <c r="C3143" s="3" t="str">
        <f>HYPERLINK("https://otsuka-europe-crm.veevavault.com/ui/#object/sent_email__v/VBLZ025E82GNPLU", "SE-000274853")</f>
        <v>SE-000274853</v>
      </c>
      <c r="D3143" s="4" t="s">
        <v>11</v>
      </c>
      <c r="E3143" s="5">
        <v>0</v>
      </c>
      <c r="F3143" s="5">
        <v>0</v>
      </c>
      <c r="G3143" s="5">
        <v>0</v>
      </c>
      <c r="H3143" s="4" t="s">
        <v>11</v>
      </c>
      <c r="I3143" s="5">
        <v>0</v>
      </c>
      <c r="J3143" s="4">
        <v>45916.294178240743</v>
      </c>
    </row>
    <row r="3144" spans="1:10" x14ac:dyDescent="0.2">
      <c r="A3144" s="2" t="s">
        <v>10</v>
      </c>
      <c r="B3144" s="3" t="str">
        <f t="shared" si="59"/>
        <v>France - HCP Survey Email - June 2025</v>
      </c>
      <c r="C3144" s="3" t="str">
        <f>HYPERLINK("https://otsuka-europe-crm.veevavault.com/ui/#object/sent_email__v/VBLZ025E82GNPLV", "SE-000274854")</f>
        <v>SE-000274854</v>
      </c>
      <c r="D3144" s="4">
        <v>45917.382650462961</v>
      </c>
      <c r="E3144" s="5">
        <v>1</v>
      </c>
      <c r="F3144" s="5">
        <v>1</v>
      </c>
      <c r="G3144" s="5">
        <v>0</v>
      </c>
      <c r="H3144" s="4" t="s">
        <v>11</v>
      </c>
      <c r="I3144" s="5">
        <v>0</v>
      </c>
      <c r="J3144" s="4">
        <v>45916.294340277775</v>
      </c>
    </row>
    <row r="3145" spans="1:10" x14ac:dyDescent="0.2">
      <c r="A3145" s="2" t="s">
        <v>10</v>
      </c>
      <c r="B3145" s="3" t="str">
        <f t="shared" si="59"/>
        <v>France - HCP Survey Email - June 2025</v>
      </c>
      <c r="C3145" s="3" t="str">
        <f>HYPERLINK("https://otsuka-europe-crm.veevavault.com/ui/#object/sent_email__v/VBLZ025E82GNPLX", "SE-000274856")</f>
        <v>SE-000274856</v>
      </c>
      <c r="D3145" s="4" t="s">
        <v>11</v>
      </c>
      <c r="E3145" s="5">
        <v>0</v>
      </c>
      <c r="F3145" s="5">
        <v>0</v>
      </c>
      <c r="G3145" s="5">
        <v>0</v>
      </c>
      <c r="H3145" s="4" t="s">
        <v>11</v>
      </c>
      <c r="I3145" s="5">
        <v>0</v>
      </c>
      <c r="J3145" s="4">
        <v>45916.294942129629</v>
      </c>
    </row>
    <row r="3146" spans="1:10" x14ac:dyDescent="0.2">
      <c r="A3146" s="2" t="s">
        <v>10</v>
      </c>
      <c r="B3146" s="3" t="str">
        <f t="shared" si="59"/>
        <v>France - HCP Survey Email - June 2025</v>
      </c>
      <c r="C3146" s="3" t="str">
        <f>HYPERLINK("https://otsuka-europe-crm.veevavault.com/ui/#object/sent_email__v/VBLZ025E82GNPLY", "SE-000274857")</f>
        <v>SE-000274857</v>
      </c>
      <c r="D3146" s="4" t="s">
        <v>11</v>
      </c>
      <c r="E3146" s="5">
        <v>0</v>
      </c>
      <c r="F3146" s="5">
        <v>0</v>
      </c>
      <c r="G3146" s="5">
        <v>0</v>
      </c>
      <c r="H3146" s="4" t="s">
        <v>11</v>
      </c>
      <c r="I3146" s="5">
        <v>0</v>
      </c>
      <c r="J3146" s="4">
        <v>45916.294236111113</v>
      </c>
    </row>
    <row r="3147" spans="1:10" x14ac:dyDescent="0.2">
      <c r="A3147" s="2" t="s">
        <v>10</v>
      </c>
      <c r="B3147" s="3" t="str">
        <f t="shared" si="59"/>
        <v>France - HCP Survey Email - June 2025</v>
      </c>
      <c r="C3147" s="3" t="str">
        <f>HYPERLINK("https://otsuka-europe-crm.veevavault.com/ui/#object/sent_email__v/VBLZ025E82GNPLZ", "SE-000274858")</f>
        <v>SE-000274858</v>
      </c>
      <c r="D3147" s="4" t="s">
        <v>11</v>
      </c>
      <c r="E3147" s="5">
        <v>0</v>
      </c>
      <c r="F3147" s="5">
        <v>0</v>
      </c>
      <c r="G3147" s="5">
        <v>0</v>
      </c>
      <c r="H3147" s="4" t="s">
        <v>11</v>
      </c>
      <c r="I3147" s="5">
        <v>0</v>
      </c>
      <c r="J3147" s="4">
        <v>45916.294548611113</v>
      </c>
    </row>
    <row r="3148" spans="1:10" x14ac:dyDescent="0.2">
      <c r="A3148" s="2" t="s">
        <v>10</v>
      </c>
      <c r="B3148" s="3" t="str">
        <f t="shared" si="59"/>
        <v>France - HCP Survey Email - June 2025</v>
      </c>
      <c r="C3148" s="3" t="str">
        <f>HYPERLINK("https://otsuka-europe-crm.veevavault.com/ui/#object/sent_email__v/VBLZ025E82GNPM1", "SE-000274860")</f>
        <v>SE-000274860</v>
      </c>
      <c r="D3148" s="4" t="s">
        <v>11</v>
      </c>
      <c r="E3148" s="5">
        <v>0</v>
      </c>
      <c r="F3148" s="5">
        <v>0</v>
      </c>
      <c r="G3148" s="5">
        <v>0</v>
      </c>
      <c r="H3148" s="4" t="s">
        <v>11</v>
      </c>
      <c r="I3148" s="5">
        <v>0</v>
      </c>
      <c r="J3148" s="4">
        <v>45916.294999999998</v>
      </c>
    </row>
    <row r="3149" spans="1:10" x14ac:dyDescent="0.2">
      <c r="A3149" s="2" t="s">
        <v>10</v>
      </c>
      <c r="B3149" s="3" t="str">
        <f t="shared" si="59"/>
        <v>France - HCP Survey Email - June 2025</v>
      </c>
      <c r="C3149" s="3" t="str">
        <f>HYPERLINK("https://otsuka-europe-crm.veevavault.com/ui/#object/sent_email__v/VBLZ025E82GNPM2", "SE-000274861")</f>
        <v>SE-000274861</v>
      </c>
      <c r="D3149" s="4" t="s">
        <v>11</v>
      </c>
      <c r="E3149" s="5">
        <v>0</v>
      </c>
      <c r="F3149" s="5">
        <v>0</v>
      </c>
      <c r="G3149" s="5">
        <v>0</v>
      </c>
      <c r="H3149" s="4" t="s">
        <v>11</v>
      </c>
      <c r="I3149" s="5">
        <v>0</v>
      </c>
      <c r="J3149" s="4">
        <v>45916.294293981482</v>
      </c>
    </row>
    <row r="3150" spans="1:10" x14ac:dyDescent="0.2">
      <c r="A3150" s="2" t="s">
        <v>10</v>
      </c>
      <c r="B3150" s="3" t="str">
        <f t="shared" si="59"/>
        <v>France - HCP Survey Email - June 2025</v>
      </c>
      <c r="C3150" s="3" t="str">
        <f>HYPERLINK("https://otsuka-europe-crm.veevavault.com/ui/#object/sent_email__v/VBLZ025E82GNPM3", "SE-000274862")</f>
        <v>SE-000274862</v>
      </c>
      <c r="D3150" s="4">
        <v>45945.526388888888</v>
      </c>
      <c r="E3150" s="5">
        <v>1</v>
      </c>
      <c r="F3150" s="5">
        <v>2</v>
      </c>
      <c r="G3150" s="5">
        <v>0</v>
      </c>
      <c r="H3150" s="4" t="s">
        <v>11</v>
      </c>
      <c r="I3150" s="5">
        <v>0</v>
      </c>
      <c r="J3150" s="4">
        <v>45916.294456018521</v>
      </c>
    </row>
    <row r="3151" spans="1:10" x14ac:dyDescent="0.2">
      <c r="A3151" s="2" t="s">
        <v>10</v>
      </c>
      <c r="B3151" s="3" t="str">
        <f t="shared" si="59"/>
        <v>France - HCP Survey Email - June 2025</v>
      </c>
      <c r="C3151" s="3" t="str">
        <f>HYPERLINK("https://otsuka-europe-crm.veevavault.com/ui/#object/sent_email__v/VBLZ025E82GNPM4", "SE-000274863")</f>
        <v>SE-000274863</v>
      </c>
      <c r="D3151" s="4" t="s">
        <v>11</v>
      </c>
      <c r="E3151" s="5">
        <v>0</v>
      </c>
      <c r="F3151" s="5">
        <v>0</v>
      </c>
      <c r="G3151" s="5">
        <v>0</v>
      </c>
      <c r="H3151" s="4" t="s">
        <v>11</v>
      </c>
      <c r="I3151" s="5">
        <v>0</v>
      </c>
      <c r="J3151" s="4">
        <v>45916.294733796298</v>
      </c>
    </row>
    <row r="3152" spans="1:10" x14ac:dyDescent="0.2">
      <c r="A3152" s="2" t="s">
        <v>10</v>
      </c>
      <c r="B3152" s="3" t="str">
        <f t="shared" si="59"/>
        <v>France - HCP Survey Email - June 2025</v>
      </c>
      <c r="C3152" s="3" t="str">
        <f>HYPERLINK("https://otsuka-europe-crm.veevavault.com/ui/#object/sent_email__v/VBLZ025E82GNPM5", "SE-000274864")</f>
        <v>SE-000274864</v>
      </c>
      <c r="D3152" s="4" t="s">
        <v>11</v>
      </c>
      <c r="E3152" s="5">
        <v>0</v>
      </c>
      <c r="F3152" s="5">
        <v>0</v>
      </c>
      <c r="G3152" s="5">
        <v>0</v>
      </c>
      <c r="H3152" s="4" t="s">
        <v>11</v>
      </c>
      <c r="I3152" s="5">
        <v>0</v>
      </c>
      <c r="J3152" s="4">
        <v>45916.294976851852</v>
      </c>
    </row>
    <row r="3153" spans="1:10" x14ac:dyDescent="0.2">
      <c r="A3153" s="2" t="s">
        <v>10</v>
      </c>
      <c r="B3153" s="3" t="str">
        <f t="shared" si="59"/>
        <v>France - HCP Survey Email - June 2025</v>
      </c>
      <c r="C3153" s="3" t="str">
        <f>HYPERLINK("https://otsuka-europe-crm.veevavault.com/ui/#object/sent_email__v/VBLZ025E82GNPM7", "SE-000274866")</f>
        <v>SE-000274866</v>
      </c>
      <c r="D3153" s="4" t="s">
        <v>11</v>
      </c>
      <c r="E3153" s="5">
        <v>0</v>
      </c>
      <c r="F3153" s="5">
        <v>0</v>
      </c>
      <c r="G3153" s="5">
        <v>0</v>
      </c>
      <c r="H3153" s="4" t="s">
        <v>11</v>
      </c>
      <c r="I3153" s="5">
        <v>0</v>
      </c>
      <c r="J3153" s="4">
        <v>45916.294560185182</v>
      </c>
    </row>
    <row r="3154" spans="1:10" x14ac:dyDescent="0.2">
      <c r="A3154" s="2" t="s">
        <v>10</v>
      </c>
      <c r="B3154" s="3" t="str">
        <f t="shared" si="59"/>
        <v>France - HCP Survey Email - June 2025</v>
      </c>
      <c r="C3154" s="3" t="str">
        <f>HYPERLINK("https://otsuka-europe-crm.veevavault.com/ui/#object/sent_email__v/VBLZ025E82GNPM8", "SE-000274867")</f>
        <v>SE-000274867</v>
      </c>
      <c r="D3154" s="4" t="s">
        <v>11</v>
      </c>
      <c r="E3154" s="5">
        <v>0</v>
      </c>
      <c r="F3154" s="5">
        <v>0</v>
      </c>
      <c r="G3154" s="5">
        <v>0</v>
      </c>
      <c r="H3154" s="4" t="s">
        <v>11</v>
      </c>
      <c r="I3154" s="5">
        <v>0</v>
      </c>
      <c r="J3154" s="4">
        <v>45916.29483796296</v>
      </c>
    </row>
    <row r="3155" spans="1:10" x14ac:dyDescent="0.2">
      <c r="A3155" s="2" t="s">
        <v>10</v>
      </c>
      <c r="B3155" s="3" t="str">
        <f t="shared" si="59"/>
        <v>France - HCP Survey Email - June 2025</v>
      </c>
      <c r="C3155" s="3" t="str">
        <f>HYPERLINK("https://otsuka-europe-crm.veevavault.com/ui/#object/sent_email__v/VBLZ025E82GNPM9", "SE-000274868")</f>
        <v>SE-000274868</v>
      </c>
      <c r="D3155" s="4" t="s">
        <v>11</v>
      </c>
      <c r="E3155" s="5">
        <v>0</v>
      </c>
      <c r="F3155" s="5">
        <v>0</v>
      </c>
      <c r="G3155" s="5">
        <v>0</v>
      </c>
      <c r="H3155" s="4" t="s">
        <v>11</v>
      </c>
      <c r="I3155" s="5">
        <v>0</v>
      </c>
      <c r="J3155" s="4">
        <v>45916.294247685182</v>
      </c>
    </row>
    <row r="3156" spans="1:10" x14ac:dyDescent="0.2">
      <c r="A3156" s="2" t="s">
        <v>10</v>
      </c>
      <c r="B3156" s="3" t="str">
        <f t="shared" si="59"/>
        <v>France - HCP Survey Email - June 2025</v>
      </c>
      <c r="C3156" s="3" t="str">
        <f>HYPERLINK("https://otsuka-europe-crm.veevavault.com/ui/#object/sent_email__v/VBLZ025E82GNPMA", "SE-000274869")</f>
        <v>SE-000274869</v>
      </c>
      <c r="D3156" s="4" t="s">
        <v>11</v>
      </c>
      <c r="E3156" s="5">
        <v>0</v>
      </c>
      <c r="F3156" s="5">
        <v>0</v>
      </c>
      <c r="G3156" s="5">
        <v>0</v>
      </c>
      <c r="H3156" s="4" t="s">
        <v>11</v>
      </c>
      <c r="I3156" s="5">
        <v>0</v>
      </c>
      <c r="J3156" s="4">
        <v>45916.294409722221</v>
      </c>
    </row>
    <row r="3157" spans="1:10" x14ac:dyDescent="0.2">
      <c r="A3157" s="2" t="s">
        <v>10</v>
      </c>
      <c r="B3157" s="3" t="str">
        <f t="shared" si="59"/>
        <v>France - HCP Survey Email - June 2025</v>
      </c>
      <c r="C3157" s="3" t="str">
        <f>HYPERLINK("https://otsuka-europe-crm.veevavault.com/ui/#object/sent_email__v/VBLZ025E82GNPMB", "SE-000274870")</f>
        <v>SE-000274870</v>
      </c>
      <c r="D3157" s="4" t="s">
        <v>11</v>
      </c>
      <c r="E3157" s="5">
        <v>0</v>
      </c>
      <c r="F3157" s="5">
        <v>0</v>
      </c>
      <c r="G3157" s="5">
        <v>0</v>
      </c>
      <c r="H3157" s="4" t="s">
        <v>11</v>
      </c>
      <c r="I3157" s="5">
        <v>0</v>
      </c>
      <c r="J3157" s="4">
        <v>45916.294710648152</v>
      </c>
    </row>
    <row r="3158" spans="1:10" x14ac:dyDescent="0.2">
      <c r="A3158" s="2" t="s">
        <v>10</v>
      </c>
      <c r="B3158" s="3" t="str">
        <f t="shared" si="59"/>
        <v>France - HCP Survey Email - June 2025</v>
      </c>
      <c r="C3158" s="3" t="str">
        <f>HYPERLINK("https://otsuka-europe-crm.veevavault.com/ui/#object/sent_email__v/VBLZ025E82GNPMC", "SE-000274871")</f>
        <v>SE-000274871</v>
      </c>
      <c r="D3158" s="4">
        <v>45916.298333333332</v>
      </c>
      <c r="E3158" s="5">
        <v>1</v>
      </c>
      <c r="F3158" s="5">
        <v>2</v>
      </c>
      <c r="G3158" s="5">
        <v>0</v>
      </c>
      <c r="H3158" s="4" t="s">
        <v>11</v>
      </c>
      <c r="I3158" s="5">
        <v>0</v>
      </c>
      <c r="J3158" s="4">
        <v>45916.294814814813</v>
      </c>
    </row>
    <row r="3159" spans="1:10" x14ac:dyDescent="0.2">
      <c r="A3159" s="2" t="s">
        <v>10</v>
      </c>
      <c r="B3159" s="3" t="str">
        <f t="shared" si="59"/>
        <v>France - HCP Survey Email - June 2025</v>
      </c>
      <c r="C3159" s="3" t="str">
        <f>HYPERLINK("https://otsuka-europe-crm.veevavault.com/ui/#object/sent_email__v/VBLZ025E82GNPMD", "SE-000274872")</f>
        <v>SE-000274872</v>
      </c>
      <c r="D3159" s="4" t="s">
        <v>11</v>
      </c>
      <c r="E3159" s="5">
        <v>0</v>
      </c>
      <c r="F3159" s="5">
        <v>0</v>
      </c>
      <c r="G3159" s="5">
        <v>0</v>
      </c>
      <c r="H3159" s="4" t="s">
        <v>11</v>
      </c>
      <c r="I3159" s="5">
        <v>0</v>
      </c>
      <c r="J3159" s="4">
        <v>45916.294293981482</v>
      </c>
    </row>
    <row r="3160" spans="1:10" x14ac:dyDescent="0.2">
      <c r="A3160" s="2" t="s">
        <v>10</v>
      </c>
      <c r="B3160" s="3" t="str">
        <f t="shared" si="59"/>
        <v>France - HCP Survey Email - June 2025</v>
      </c>
      <c r="C3160" s="3" t="str">
        <f>HYPERLINK("https://otsuka-europe-crm.veevavault.com/ui/#object/sent_email__v/VBLZ025E82GNPME", "SE-000274873")</f>
        <v>SE-000274873</v>
      </c>
      <c r="D3160" s="4" t="s">
        <v>11</v>
      </c>
      <c r="E3160" s="5">
        <v>0</v>
      </c>
      <c r="F3160" s="5">
        <v>0</v>
      </c>
      <c r="G3160" s="5">
        <v>0</v>
      </c>
      <c r="H3160" s="4" t="s">
        <v>11</v>
      </c>
      <c r="I3160" s="5">
        <v>0</v>
      </c>
      <c r="J3160" s="4">
        <v>45916.294456018521</v>
      </c>
    </row>
    <row r="3161" spans="1:10" x14ac:dyDescent="0.2">
      <c r="A3161" s="2" t="s">
        <v>10</v>
      </c>
      <c r="B3161" s="3" t="str">
        <f t="shared" si="59"/>
        <v>France - HCP Survey Email - June 2025</v>
      </c>
      <c r="C3161" s="3" t="str">
        <f>HYPERLINK("https://otsuka-europe-crm.veevavault.com/ui/#object/sent_email__v/VBLZ025E82GNPMF", "SE-000274874")</f>
        <v>SE-000274874</v>
      </c>
      <c r="D3161" s="4" t="s">
        <v>11</v>
      </c>
      <c r="E3161" s="5">
        <v>0</v>
      </c>
      <c r="F3161" s="5">
        <v>0</v>
      </c>
      <c r="G3161" s="5">
        <v>0</v>
      </c>
      <c r="H3161" s="4" t="s">
        <v>11</v>
      </c>
      <c r="I3161" s="5">
        <v>0</v>
      </c>
      <c r="J3161" s="4">
        <v>45916.294629629629</v>
      </c>
    </row>
    <row r="3162" spans="1:10" x14ac:dyDescent="0.2">
      <c r="A3162" s="2" t="s">
        <v>10</v>
      </c>
      <c r="B3162" s="3" t="str">
        <f t="shared" si="59"/>
        <v>France - HCP Survey Email - June 2025</v>
      </c>
      <c r="C3162" s="3" t="str">
        <f>HYPERLINK("https://otsuka-europe-crm.veevavault.com/ui/#object/sent_email__v/VBLZ025E82GNPMG", "SE-000274875")</f>
        <v>SE-000274875</v>
      </c>
      <c r="D3162" s="4" t="s">
        <v>11</v>
      </c>
      <c r="E3162" s="5">
        <v>0</v>
      </c>
      <c r="F3162" s="5">
        <v>0</v>
      </c>
      <c r="G3162" s="5">
        <v>0</v>
      </c>
      <c r="H3162" s="4" t="s">
        <v>11</v>
      </c>
      <c r="I3162" s="5">
        <v>0</v>
      </c>
      <c r="J3162" s="4">
        <v>45916.294965277775</v>
      </c>
    </row>
    <row r="3163" spans="1:10" x14ac:dyDescent="0.2">
      <c r="A3163" s="2" t="s">
        <v>10</v>
      </c>
      <c r="B3163" s="3" t="str">
        <f t="shared" si="59"/>
        <v>France - HCP Survey Email - June 2025</v>
      </c>
      <c r="C3163" s="3" t="str">
        <f>HYPERLINK("https://otsuka-europe-crm.veevavault.com/ui/#object/sent_email__v/VBLZ025E82GNPMH", "SE-000274876")</f>
        <v>SE-000274876</v>
      </c>
      <c r="D3163" s="4" t="s">
        <v>11</v>
      </c>
      <c r="E3163" s="5">
        <v>0</v>
      </c>
      <c r="F3163" s="5">
        <v>0</v>
      </c>
      <c r="G3163" s="5">
        <v>0</v>
      </c>
      <c r="H3163" s="4" t="s">
        <v>11</v>
      </c>
      <c r="I3163" s="5">
        <v>0</v>
      </c>
      <c r="J3163" s="4">
        <v>45916.294374999998</v>
      </c>
    </row>
    <row r="3164" spans="1:10" x14ac:dyDescent="0.2">
      <c r="A3164" s="2" t="s">
        <v>10</v>
      </c>
      <c r="B3164" s="3" t="str">
        <f t="shared" si="59"/>
        <v>France - HCP Survey Email - June 2025</v>
      </c>
      <c r="C3164" s="3" t="str">
        <f>HYPERLINK("https://otsuka-europe-crm.veevavault.com/ui/#object/sent_email__v/VBLZ025E82GNPMI", "SE-000274877")</f>
        <v>SE-000274877</v>
      </c>
      <c r="D3164" s="4" t="s">
        <v>11</v>
      </c>
      <c r="E3164" s="5">
        <v>0</v>
      </c>
      <c r="F3164" s="5">
        <v>0</v>
      </c>
      <c r="G3164" s="5">
        <v>0</v>
      </c>
      <c r="H3164" s="4" t="s">
        <v>11</v>
      </c>
      <c r="I3164" s="5">
        <v>0</v>
      </c>
      <c r="J3164" s="4">
        <v>45916.294548611113</v>
      </c>
    </row>
    <row r="3165" spans="1:10" x14ac:dyDescent="0.2">
      <c r="A3165" s="2" t="s">
        <v>10</v>
      </c>
      <c r="B3165" s="3" t="str">
        <f t="shared" si="59"/>
        <v>France - HCP Survey Email - June 2025</v>
      </c>
      <c r="C3165" s="3" t="str">
        <f>HYPERLINK("https://otsuka-europe-crm.veevavault.com/ui/#object/sent_email__v/VBLZ025E82GNPMJ", "SE-000274878")</f>
        <v>SE-000274878</v>
      </c>
      <c r="D3165" s="4" t="s">
        <v>11</v>
      </c>
      <c r="E3165" s="5">
        <v>0</v>
      </c>
      <c r="F3165" s="5">
        <v>0</v>
      </c>
      <c r="G3165" s="5">
        <v>0</v>
      </c>
      <c r="H3165" s="4" t="s">
        <v>11</v>
      </c>
      <c r="I3165" s="5">
        <v>0</v>
      </c>
      <c r="J3165" s="4">
        <v>45916.29482638889</v>
      </c>
    </row>
    <row r="3166" spans="1:10" x14ac:dyDescent="0.2">
      <c r="A3166" s="2" t="s">
        <v>10</v>
      </c>
      <c r="B3166" s="3" t="str">
        <f t="shared" si="59"/>
        <v>France - HCP Survey Email - June 2025</v>
      </c>
      <c r="C3166" s="3" t="str">
        <f>HYPERLINK("https://otsuka-europe-crm.veevavault.com/ui/#object/sent_email__v/VBLZ025E82GNPMK", "SE-000274879")</f>
        <v>SE-000274879</v>
      </c>
      <c r="D3166" s="4" t="s">
        <v>11</v>
      </c>
      <c r="E3166" s="5">
        <v>0</v>
      </c>
      <c r="F3166" s="5">
        <v>0</v>
      </c>
      <c r="G3166" s="5">
        <v>0</v>
      </c>
      <c r="H3166" s="4" t="s">
        <v>11</v>
      </c>
      <c r="I3166" s="5">
        <v>0</v>
      </c>
      <c r="J3166" s="4">
        <v>45916.294259259259</v>
      </c>
    </row>
    <row r="3167" spans="1:10" x14ac:dyDescent="0.2">
      <c r="A3167" s="2" t="s">
        <v>10</v>
      </c>
      <c r="B3167" s="3" t="str">
        <f t="shared" si="59"/>
        <v>France - HCP Survey Email - June 2025</v>
      </c>
      <c r="C3167" s="3" t="str">
        <f>HYPERLINK("https://otsuka-europe-crm.veevavault.com/ui/#object/sent_email__v/VBLZ025E82GNPMM", "SE-000274881")</f>
        <v>SE-000274881</v>
      </c>
      <c r="D3167" s="4" t="s">
        <v>11</v>
      </c>
      <c r="E3167" s="5">
        <v>0</v>
      </c>
      <c r="F3167" s="5">
        <v>0</v>
      </c>
      <c r="G3167" s="5">
        <v>0</v>
      </c>
      <c r="H3167" s="4" t="s">
        <v>11</v>
      </c>
      <c r="I3167" s="5">
        <v>0</v>
      </c>
      <c r="J3167" s="4">
        <v>45916.294664351852</v>
      </c>
    </row>
    <row r="3168" spans="1:10" x14ac:dyDescent="0.2">
      <c r="A3168" s="2" t="s">
        <v>10</v>
      </c>
      <c r="B3168" s="3" t="str">
        <f t="shared" si="59"/>
        <v>France - HCP Survey Email - June 2025</v>
      </c>
      <c r="C3168" s="3" t="str">
        <f>HYPERLINK("https://otsuka-europe-crm.veevavault.com/ui/#object/sent_email__v/VBLZ025E82GNPMN", "SE-000274882")</f>
        <v>SE-000274882</v>
      </c>
      <c r="D3168" s="4">
        <v>45922.517800925925</v>
      </c>
      <c r="E3168" s="5">
        <v>1</v>
      </c>
      <c r="F3168" s="5">
        <v>1</v>
      </c>
      <c r="G3168" s="5">
        <v>0</v>
      </c>
      <c r="H3168" s="4" t="s">
        <v>11</v>
      </c>
      <c r="I3168" s="5">
        <v>0</v>
      </c>
      <c r="J3168" s="4">
        <v>45916.294849537036</v>
      </c>
    </row>
    <row r="3169" spans="1:10" x14ac:dyDescent="0.2">
      <c r="A3169" s="2" t="s">
        <v>10</v>
      </c>
      <c r="B3169" s="3" t="str">
        <f t="shared" si="59"/>
        <v>France - HCP Survey Email - June 2025</v>
      </c>
      <c r="C3169" s="3" t="str">
        <f>HYPERLINK("https://otsuka-europe-crm.veevavault.com/ui/#object/sent_email__v/VBLZ025E82GNPMO", "SE-000274883")</f>
        <v>SE-000274883</v>
      </c>
      <c r="D3169" s="4" t="s">
        <v>11</v>
      </c>
      <c r="E3169" s="5">
        <v>0</v>
      </c>
      <c r="F3169" s="5">
        <v>0</v>
      </c>
      <c r="G3169" s="5">
        <v>0</v>
      </c>
      <c r="H3169" s="4" t="s">
        <v>11</v>
      </c>
      <c r="I3169" s="5">
        <v>0</v>
      </c>
      <c r="J3169" s="4">
        <v>45916.294305555559</v>
      </c>
    </row>
    <row r="3170" spans="1:10" x14ac:dyDescent="0.2">
      <c r="A3170" s="2" t="s">
        <v>10</v>
      </c>
      <c r="B3170" s="3" t="str">
        <f t="shared" si="59"/>
        <v>France - HCP Survey Email - June 2025</v>
      </c>
      <c r="C3170" s="3" t="str">
        <f>HYPERLINK("https://otsuka-europe-crm.veevavault.com/ui/#object/sent_email__v/VBLZ025E82GNPMP", "SE-000274884")</f>
        <v>SE-000274884</v>
      </c>
      <c r="D3170" s="4">
        <v>45926.482187499998</v>
      </c>
      <c r="E3170" s="5">
        <v>1</v>
      </c>
      <c r="F3170" s="5">
        <v>1</v>
      </c>
      <c r="G3170" s="5">
        <v>1</v>
      </c>
      <c r="H3170" s="4">
        <v>45926.482187499998</v>
      </c>
      <c r="I3170" s="5">
        <v>1</v>
      </c>
      <c r="J3170" s="4">
        <v>45916.294525462959</v>
      </c>
    </row>
    <row r="3171" spans="1:10" x14ac:dyDescent="0.2">
      <c r="A3171" s="2" t="s">
        <v>10</v>
      </c>
      <c r="B3171" s="3" t="str">
        <f t="shared" si="59"/>
        <v>France - HCP Survey Email - June 2025</v>
      </c>
      <c r="C3171" s="3" t="str">
        <f>HYPERLINK("https://otsuka-europe-crm.veevavault.com/ui/#object/sent_email__v/VBLZ025E82GNPMQ", "SE-000274885")</f>
        <v>SE-000274885</v>
      </c>
      <c r="D3171" s="4" t="s">
        <v>11</v>
      </c>
      <c r="E3171" s="5">
        <v>0</v>
      </c>
      <c r="F3171" s="5">
        <v>0</v>
      </c>
      <c r="G3171" s="5">
        <v>0</v>
      </c>
      <c r="H3171" s="4" t="s">
        <v>11</v>
      </c>
      <c r="I3171" s="5">
        <v>0</v>
      </c>
      <c r="J3171" s="4">
        <v>45916.294652777775</v>
      </c>
    </row>
    <row r="3172" spans="1:10" x14ac:dyDescent="0.2">
      <c r="A3172" s="2" t="s">
        <v>10</v>
      </c>
      <c r="B3172" s="3" t="str">
        <f t="shared" si="59"/>
        <v>France - HCP Survey Email - June 2025</v>
      </c>
      <c r="C3172" s="3" t="str">
        <f>HYPERLINK("https://otsuka-europe-crm.veevavault.com/ui/#object/sent_email__v/VBLZ025E82GNPMR", "SE-000274886")</f>
        <v>SE-000274886</v>
      </c>
      <c r="D3172" s="4" t="s">
        <v>11</v>
      </c>
      <c r="E3172" s="5">
        <v>0</v>
      </c>
      <c r="F3172" s="5">
        <v>0</v>
      </c>
      <c r="G3172" s="5">
        <v>0</v>
      </c>
      <c r="H3172" s="4" t="s">
        <v>11</v>
      </c>
      <c r="I3172" s="5">
        <v>0</v>
      </c>
      <c r="J3172" s="4">
        <v>45916.295023148145</v>
      </c>
    </row>
    <row r="3173" spans="1:10" x14ac:dyDescent="0.2">
      <c r="A3173" s="2" t="s">
        <v>10</v>
      </c>
      <c r="B3173" s="3" t="str">
        <f t="shared" si="59"/>
        <v>France - HCP Survey Email - June 2025</v>
      </c>
      <c r="C3173" s="3" t="str">
        <f>HYPERLINK("https://otsuka-europe-crm.veevavault.com/ui/#object/sent_email__v/VBLZ025E82GNPMS", "SE-000274887")</f>
        <v>SE-000274887</v>
      </c>
      <c r="D3173" s="4">
        <v>45917.623611111114</v>
      </c>
      <c r="E3173" s="5">
        <v>1</v>
      </c>
      <c r="F3173" s="5">
        <v>1</v>
      </c>
      <c r="G3173" s="5">
        <v>1</v>
      </c>
      <c r="H3173" s="4">
        <v>45917.623888888891</v>
      </c>
      <c r="I3173" s="5">
        <v>3</v>
      </c>
      <c r="J3173" s="4">
        <v>45916.29482638889</v>
      </c>
    </row>
    <row r="3174" spans="1:10" x14ac:dyDescent="0.2">
      <c r="A3174" s="2" t="s">
        <v>10</v>
      </c>
      <c r="B3174" s="3" t="str">
        <f t="shared" si="59"/>
        <v>France - HCP Survey Email - June 2025</v>
      </c>
      <c r="C3174" s="3" t="str">
        <f>HYPERLINK("https://otsuka-europe-crm.veevavault.com/ui/#object/sent_email__v/VBLZ025E82GNPMT", "SE-000274888")</f>
        <v>SE-000274888</v>
      </c>
      <c r="D3174" s="4" t="s">
        <v>11</v>
      </c>
      <c r="E3174" s="5">
        <v>0</v>
      </c>
      <c r="F3174" s="5">
        <v>0</v>
      </c>
      <c r="G3174" s="5">
        <v>0</v>
      </c>
      <c r="H3174" s="4" t="s">
        <v>11</v>
      </c>
      <c r="I3174" s="5">
        <v>0</v>
      </c>
      <c r="J3174" s="4">
        <v>45916.294293981482</v>
      </c>
    </row>
    <row r="3175" spans="1:10" x14ac:dyDescent="0.2">
      <c r="A3175" s="2" t="s">
        <v>10</v>
      </c>
      <c r="B3175" s="3" t="str">
        <f t="shared" si="59"/>
        <v>France - HCP Survey Email - June 2025</v>
      </c>
      <c r="C3175" s="3" t="str">
        <f>HYPERLINK("https://otsuka-europe-crm.veevavault.com/ui/#object/sent_email__v/VBLZ025E82GNPMU", "SE-000274889")</f>
        <v>SE-000274889</v>
      </c>
      <c r="D3175" s="4" t="s">
        <v>11</v>
      </c>
      <c r="E3175" s="5">
        <v>0</v>
      </c>
      <c r="F3175" s="5">
        <v>0</v>
      </c>
      <c r="G3175" s="5">
        <v>0</v>
      </c>
      <c r="H3175" s="4" t="s">
        <v>11</v>
      </c>
      <c r="I3175" s="5">
        <v>0</v>
      </c>
      <c r="J3175" s="4">
        <v>45916.294525462959</v>
      </c>
    </row>
    <row r="3176" spans="1:10" x14ac:dyDescent="0.2">
      <c r="A3176" s="2" t="s">
        <v>10</v>
      </c>
      <c r="B3176" s="3" t="str">
        <f t="shared" si="59"/>
        <v>France - HCP Survey Email - June 2025</v>
      </c>
      <c r="C3176" s="3" t="str">
        <f>HYPERLINK("https://otsuka-europe-crm.veevavault.com/ui/#object/sent_email__v/VBLZ025E82GNPMV", "SE-000274890")</f>
        <v>SE-000274890</v>
      </c>
      <c r="D3176" s="4">
        <v>45916.294930555552</v>
      </c>
      <c r="E3176" s="5">
        <v>1</v>
      </c>
      <c r="F3176" s="5">
        <v>2</v>
      </c>
      <c r="G3176" s="5">
        <v>1</v>
      </c>
      <c r="H3176" s="4">
        <v>45916.294930555552</v>
      </c>
      <c r="I3176" s="5">
        <v>2</v>
      </c>
      <c r="J3176" s="4">
        <v>45916.294791666667</v>
      </c>
    </row>
    <row r="3177" spans="1:10" x14ac:dyDescent="0.2">
      <c r="A3177" s="2" t="s">
        <v>10</v>
      </c>
      <c r="B3177" s="3" t="str">
        <f t="shared" si="59"/>
        <v>France - HCP Survey Email - June 2025</v>
      </c>
      <c r="C3177" s="3" t="str">
        <f>HYPERLINK("https://otsuka-europe-crm.veevavault.com/ui/#object/sent_email__v/VBLZ025E82GNPMW", "SE-000274891")</f>
        <v>SE-000274891</v>
      </c>
      <c r="D3177" s="4" t="s">
        <v>11</v>
      </c>
      <c r="E3177" s="5">
        <v>0</v>
      </c>
      <c r="F3177" s="5">
        <v>0</v>
      </c>
      <c r="G3177" s="5">
        <v>0</v>
      </c>
      <c r="H3177" s="4" t="s">
        <v>11</v>
      </c>
      <c r="I3177" s="5">
        <v>0</v>
      </c>
      <c r="J3177" s="4">
        <v>45916.295046296298</v>
      </c>
    </row>
    <row r="3178" spans="1:10" x14ac:dyDescent="0.2">
      <c r="A3178" s="2" t="s">
        <v>10</v>
      </c>
      <c r="B3178" s="3" t="str">
        <f t="shared" si="59"/>
        <v>France - HCP Survey Email - June 2025</v>
      </c>
      <c r="C3178" s="3" t="str">
        <f>HYPERLINK("https://otsuka-europe-crm.veevavault.com/ui/#object/sent_email__v/VBLZ025E82GNPMX", "SE-000274892")</f>
        <v>SE-000274892</v>
      </c>
      <c r="D3178" s="4" t="s">
        <v>11</v>
      </c>
      <c r="E3178" s="5">
        <v>0</v>
      </c>
      <c r="F3178" s="5">
        <v>0</v>
      </c>
      <c r="G3178" s="5">
        <v>0</v>
      </c>
      <c r="H3178" s="4" t="s">
        <v>11</v>
      </c>
      <c r="I3178" s="5">
        <v>0</v>
      </c>
      <c r="J3178" s="4">
        <v>45916.294386574074</v>
      </c>
    </row>
    <row r="3179" spans="1:10" x14ac:dyDescent="0.2">
      <c r="A3179" s="2" t="s">
        <v>10</v>
      </c>
      <c r="B3179" s="3" t="str">
        <f t="shared" si="59"/>
        <v>France - HCP Survey Email - June 2025</v>
      </c>
      <c r="C3179" s="3" t="str">
        <f>HYPERLINK("https://otsuka-europe-crm.veevavault.com/ui/#object/sent_email__v/VBLZ025E82GNPMY", "SE-000274893")</f>
        <v>SE-000274893</v>
      </c>
      <c r="D3179" s="4">
        <v>45917.965567129628</v>
      </c>
      <c r="E3179" s="5">
        <v>1</v>
      </c>
      <c r="F3179" s="5">
        <v>1</v>
      </c>
      <c r="G3179" s="5">
        <v>0</v>
      </c>
      <c r="H3179" s="4" t="s">
        <v>11</v>
      </c>
      <c r="I3179" s="5">
        <v>0</v>
      </c>
      <c r="J3179" s="4">
        <v>45916.294583333336</v>
      </c>
    </row>
    <row r="3180" spans="1:10" x14ac:dyDescent="0.2">
      <c r="A3180" s="2" t="s">
        <v>10</v>
      </c>
      <c r="B3180" s="3" t="str">
        <f t="shared" si="59"/>
        <v>France - HCP Survey Email - June 2025</v>
      </c>
      <c r="C3180" s="3" t="str">
        <f>HYPERLINK("https://otsuka-europe-crm.veevavault.com/ui/#object/sent_email__v/VBLZ025E82GNPMZ", "SE-000274894")</f>
        <v>SE-000274894</v>
      </c>
      <c r="D3180" s="4" t="s">
        <v>11</v>
      </c>
      <c r="E3180" s="5">
        <v>0</v>
      </c>
      <c r="F3180" s="5">
        <v>0</v>
      </c>
      <c r="G3180" s="5">
        <v>0</v>
      </c>
      <c r="H3180" s="4" t="s">
        <v>11</v>
      </c>
      <c r="I3180" s="5">
        <v>0</v>
      </c>
      <c r="J3180" s="4">
        <v>45916.294814814813</v>
      </c>
    </row>
    <row r="3181" spans="1:10" x14ac:dyDescent="0.2">
      <c r="A3181" s="2" t="s">
        <v>10</v>
      </c>
      <c r="B3181" s="3" t="str">
        <f t="shared" si="59"/>
        <v>France - HCP Survey Email - June 2025</v>
      </c>
      <c r="C3181" s="3" t="str">
        <f>HYPERLINK("https://otsuka-europe-crm.veevavault.com/ui/#object/sent_email__v/VBLZ025E82GNPN0", "SE-000274895")</f>
        <v>SE-000274895</v>
      </c>
      <c r="D3181" s="4" t="s">
        <v>11</v>
      </c>
      <c r="E3181" s="5">
        <v>0</v>
      </c>
      <c r="F3181" s="5">
        <v>0</v>
      </c>
      <c r="G3181" s="5">
        <v>0</v>
      </c>
      <c r="H3181" s="4" t="s">
        <v>11</v>
      </c>
      <c r="I3181" s="5">
        <v>0</v>
      </c>
      <c r="J3181" s="4">
        <v>45916.294259259259</v>
      </c>
    </row>
    <row r="3182" spans="1:10" x14ac:dyDescent="0.2">
      <c r="A3182" s="2" t="s">
        <v>10</v>
      </c>
      <c r="B3182" s="3" t="str">
        <f t="shared" si="59"/>
        <v>France - HCP Survey Email - June 2025</v>
      </c>
      <c r="C3182" s="3" t="str">
        <f>HYPERLINK("https://otsuka-europe-crm.veevavault.com/ui/#object/sent_email__v/VBLZ025E82GNPN1", "SE-000274896")</f>
        <v>SE-000274896</v>
      </c>
      <c r="D3182" s="4" t="s">
        <v>11</v>
      </c>
      <c r="E3182" s="5">
        <v>0</v>
      </c>
      <c r="F3182" s="5">
        <v>0</v>
      </c>
      <c r="G3182" s="5">
        <v>0</v>
      </c>
      <c r="H3182" s="4" t="s">
        <v>11</v>
      </c>
      <c r="I3182" s="5">
        <v>0</v>
      </c>
      <c r="J3182" s="4">
        <v>45916.294421296298</v>
      </c>
    </row>
    <row r="3183" spans="1:10" x14ac:dyDescent="0.2">
      <c r="A3183" s="2" t="s">
        <v>10</v>
      </c>
      <c r="B3183" s="3" t="str">
        <f t="shared" si="59"/>
        <v>France - HCP Survey Email - June 2025</v>
      </c>
      <c r="C3183" s="3" t="str">
        <f>HYPERLINK("https://otsuka-europe-crm.veevavault.com/ui/#object/sent_email__v/VBLZ025E82GNPN2", "SE-000274897")</f>
        <v>SE-000274897</v>
      </c>
      <c r="D3183" s="4" t="s">
        <v>11</v>
      </c>
      <c r="E3183" s="5">
        <v>0</v>
      </c>
      <c r="F3183" s="5">
        <v>0</v>
      </c>
      <c r="G3183" s="5">
        <v>0</v>
      </c>
      <c r="H3183" s="4" t="s">
        <v>11</v>
      </c>
      <c r="I3183" s="5">
        <v>0</v>
      </c>
      <c r="J3183" s="4">
        <v>45916.294594907406</v>
      </c>
    </row>
    <row r="3184" spans="1:10" x14ac:dyDescent="0.2">
      <c r="A3184" s="2" t="s">
        <v>10</v>
      </c>
      <c r="B3184" s="3" t="str">
        <f t="shared" si="59"/>
        <v>France - HCP Survey Email - June 2025</v>
      </c>
      <c r="C3184" s="3" t="str">
        <f>HYPERLINK("https://otsuka-europe-crm.veevavault.com/ui/#object/sent_email__v/VBLZ025E82GNPN3", "SE-000274898")</f>
        <v>SE-000274898</v>
      </c>
      <c r="D3184" s="4" t="s">
        <v>11</v>
      </c>
      <c r="E3184" s="5">
        <v>0</v>
      </c>
      <c r="F3184" s="5">
        <v>0</v>
      </c>
      <c r="G3184" s="5">
        <v>0</v>
      </c>
      <c r="H3184" s="4" t="s">
        <v>11</v>
      </c>
      <c r="I3184" s="5">
        <v>0</v>
      </c>
      <c r="J3184" s="4">
        <v>45916.294814814813</v>
      </c>
    </row>
    <row r="3185" spans="1:10" x14ac:dyDescent="0.2">
      <c r="A3185" s="2" t="s">
        <v>10</v>
      </c>
      <c r="B3185" s="3" t="str">
        <f t="shared" si="59"/>
        <v>France - HCP Survey Email - June 2025</v>
      </c>
      <c r="C3185" s="3" t="str">
        <f>HYPERLINK("https://otsuka-europe-crm.veevavault.com/ui/#object/sent_email__v/VBLZ025E82GNPN4", "SE-000274899")</f>
        <v>SE-000274899</v>
      </c>
      <c r="D3185" s="4">
        <v>45916.335856481484</v>
      </c>
      <c r="E3185" s="5">
        <v>1</v>
      </c>
      <c r="F3185" s="5">
        <v>1</v>
      </c>
      <c r="G3185" s="5">
        <v>0</v>
      </c>
      <c r="H3185" s="4" t="s">
        <v>11</v>
      </c>
      <c r="I3185" s="5">
        <v>0</v>
      </c>
      <c r="J3185" s="4">
        <v>45916.294247685182</v>
      </c>
    </row>
    <row r="3186" spans="1:10" x14ac:dyDescent="0.2">
      <c r="A3186" s="2" t="s">
        <v>10</v>
      </c>
      <c r="B3186" s="3" t="str">
        <f t="shared" si="59"/>
        <v>France - HCP Survey Email - June 2025</v>
      </c>
      <c r="C3186" s="3" t="str">
        <f>HYPERLINK("https://otsuka-europe-crm.veevavault.com/ui/#object/sent_email__v/VBLZ025E82GNPN5", "SE-000274900")</f>
        <v>SE-000274900</v>
      </c>
      <c r="D3186" s="4" t="s">
        <v>11</v>
      </c>
      <c r="E3186" s="5">
        <v>0</v>
      </c>
      <c r="F3186" s="5">
        <v>0</v>
      </c>
      <c r="G3186" s="5">
        <v>0</v>
      </c>
      <c r="H3186" s="4" t="s">
        <v>11</v>
      </c>
      <c r="I3186" s="5">
        <v>0</v>
      </c>
      <c r="J3186" s="4">
        <v>45916.29446759259</v>
      </c>
    </row>
    <row r="3187" spans="1:10" x14ac:dyDescent="0.2">
      <c r="A3187" s="2" t="s">
        <v>10</v>
      </c>
      <c r="B3187" s="3" t="str">
        <f t="shared" si="59"/>
        <v>France - HCP Survey Email - June 2025</v>
      </c>
      <c r="C3187" s="3" t="str">
        <f>HYPERLINK("https://otsuka-europe-crm.veevavault.com/ui/#object/sent_email__v/VBLZ025E82GNPN6", "SE-000274901")</f>
        <v>SE-000274901</v>
      </c>
      <c r="D3187" s="4" t="s">
        <v>11</v>
      </c>
      <c r="E3187" s="5">
        <v>0</v>
      </c>
      <c r="F3187" s="5">
        <v>0</v>
      </c>
      <c r="G3187" s="5">
        <v>0</v>
      </c>
      <c r="H3187" s="4" t="s">
        <v>11</v>
      </c>
      <c r="I3187" s="5">
        <v>0</v>
      </c>
      <c r="J3187" s="4">
        <v>45916.29478009259</v>
      </c>
    </row>
    <row r="3188" spans="1:10" x14ac:dyDescent="0.2">
      <c r="A3188" s="2" t="s">
        <v>10</v>
      </c>
      <c r="B3188" s="3" t="str">
        <f t="shared" si="59"/>
        <v>France - HCP Survey Email - June 2025</v>
      </c>
      <c r="C3188" s="3" t="str">
        <f>HYPERLINK("https://otsuka-europe-crm.veevavault.com/ui/#object/sent_email__v/VBLZ025E82GNPN7", "SE-000274902")</f>
        <v>SE-000274902</v>
      </c>
      <c r="D3188" s="4" t="s">
        <v>11</v>
      </c>
      <c r="E3188" s="5">
        <v>0</v>
      </c>
      <c r="F3188" s="5">
        <v>0</v>
      </c>
      <c r="G3188" s="5">
        <v>0</v>
      </c>
      <c r="H3188" s="4" t="s">
        <v>11</v>
      </c>
      <c r="I3188" s="5">
        <v>0</v>
      </c>
      <c r="J3188" s="4">
        <v>45916.295057870368</v>
      </c>
    </row>
    <row r="3189" spans="1:10" x14ac:dyDescent="0.2">
      <c r="A3189" s="2" t="s">
        <v>10</v>
      </c>
      <c r="B3189" s="3" t="str">
        <f t="shared" si="59"/>
        <v>France - HCP Survey Email - June 2025</v>
      </c>
      <c r="C3189" s="3" t="str">
        <f>HYPERLINK("https://otsuka-europe-crm.veevavault.com/ui/#object/sent_email__v/VBLZ025E82GNPN8", "SE-000274903")</f>
        <v>SE-000274903</v>
      </c>
      <c r="D3189" s="4" t="s">
        <v>11</v>
      </c>
      <c r="E3189" s="5">
        <v>0</v>
      </c>
      <c r="F3189" s="5">
        <v>0</v>
      </c>
      <c r="G3189" s="5">
        <v>0</v>
      </c>
      <c r="H3189" s="4" t="s">
        <v>11</v>
      </c>
      <c r="I3189" s="5">
        <v>0</v>
      </c>
      <c r="J3189" s="4">
        <v>45916.294340277775</v>
      </c>
    </row>
    <row r="3190" spans="1:10" x14ac:dyDescent="0.2">
      <c r="A3190" s="2" t="s">
        <v>10</v>
      </c>
      <c r="B3190" s="3" t="str">
        <f t="shared" si="59"/>
        <v>France - HCP Survey Email - June 2025</v>
      </c>
      <c r="C3190" s="3" t="str">
        <f>HYPERLINK("https://otsuka-europe-crm.veevavault.com/ui/#object/sent_email__v/VBLZ025E82GNPNA", "SE-000274905")</f>
        <v>SE-000274905</v>
      </c>
      <c r="D3190" s="4" t="s">
        <v>11</v>
      </c>
      <c r="E3190" s="5">
        <v>0</v>
      </c>
      <c r="F3190" s="5">
        <v>0</v>
      </c>
      <c r="G3190" s="5">
        <v>0</v>
      </c>
      <c r="H3190" s="4" t="s">
        <v>11</v>
      </c>
      <c r="I3190" s="5">
        <v>0</v>
      </c>
      <c r="J3190" s="4">
        <v>45916.294895833336</v>
      </c>
    </row>
    <row r="3191" spans="1:10" x14ac:dyDescent="0.2">
      <c r="A3191" s="2" t="s">
        <v>10</v>
      </c>
      <c r="B3191" s="3" t="str">
        <f t="shared" si="59"/>
        <v>France - HCP Survey Email - June 2025</v>
      </c>
      <c r="C3191" s="3" t="str">
        <f>HYPERLINK("https://otsuka-europe-crm.veevavault.com/ui/#object/sent_email__v/VBLZ025E82GNPNB", "SE-000274906")</f>
        <v>SE-000274906</v>
      </c>
      <c r="D3191" s="4" t="s">
        <v>11</v>
      </c>
      <c r="E3191" s="5">
        <v>0</v>
      </c>
      <c r="F3191" s="5">
        <v>0</v>
      </c>
      <c r="G3191" s="5">
        <v>0</v>
      </c>
      <c r="H3191" s="4" t="s">
        <v>11</v>
      </c>
      <c r="I3191" s="5">
        <v>0</v>
      </c>
      <c r="J3191" s="4">
        <v>45916.294212962966</v>
      </c>
    </row>
    <row r="3192" spans="1:10" x14ac:dyDescent="0.2">
      <c r="A3192" s="2" t="s">
        <v>10</v>
      </c>
      <c r="B3192" s="3" t="str">
        <f t="shared" si="59"/>
        <v>France - HCP Survey Email - June 2025</v>
      </c>
      <c r="C3192" s="3" t="str">
        <f>HYPERLINK("https://otsuka-europe-crm.veevavault.com/ui/#object/sent_email__v/VBLZ025E82GNPNC", "SE-000274907")</f>
        <v>SE-000274907</v>
      </c>
      <c r="D3192" s="4">
        <v>45916.637592592589</v>
      </c>
      <c r="E3192" s="5">
        <v>1</v>
      </c>
      <c r="F3192" s="5">
        <v>1</v>
      </c>
      <c r="G3192" s="5">
        <v>0</v>
      </c>
      <c r="H3192" s="4" t="s">
        <v>11</v>
      </c>
      <c r="I3192" s="5">
        <v>0</v>
      </c>
      <c r="J3192" s="4">
        <v>45916.294398148151</v>
      </c>
    </row>
    <row r="3193" spans="1:10" x14ac:dyDescent="0.2">
      <c r="A3193" s="2" t="s">
        <v>10</v>
      </c>
      <c r="B3193" s="3" t="str">
        <f t="shared" si="59"/>
        <v>France - HCP Survey Email - June 2025</v>
      </c>
      <c r="C3193" s="3" t="str">
        <f>HYPERLINK("https://otsuka-europe-crm.veevavault.com/ui/#object/sent_email__v/VBLZ025E82GNPND", "SE-000274908")</f>
        <v>SE-000274908</v>
      </c>
      <c r="D3193" s="4" t="s">
        <v>11</v>
      </c>
      <c r="E3193" s="5">
        <v>0</v>
      </c>
      <c r="F3193" s="5">
        <v>0</v>
      </c>
      <c r="G3193" s="5">
        <v>0</v>
      </c>
      <c r="H3193" s="4" t="s">
        <v>11</v>
      </c>
      <c r="I3193" s="5">
        <v>0</v>
      </c>
      <c r="J3193" s="4">
        <v>45916.294606481482</v>
      </c>
    </row>
    <row r="3194" spans="1:10" x14ac:dyDescent="0.2">
      <c r="A3194" s="2" t="s">
        <v>10</v>
      </c>
      <c r="B3194" s="3" t="str">
        <f t="shared" si="59"/>
        <v>France - HCP Survey Email - June 2025</v>
      </c>
      <c r="C3194" s="3" t="str">
        <f>HYPERLINK("https://otsuka-europe-crm.veevavault.com/ui/#object/sent_email__v/VBLZ025E82GNPNF", "SE-000274910")</f>
        <v>SE-000274910</v>
      </c>
      <c r="D3194" s="4" t="s">
        <v>11</v>
      </c>
      <c r="E3194" s="5">
        <v>0</v>
      </c>
      <c r="F3194" s="5">
        <v>0</v>
      </c>
      <c r="G3194" s="5">
        <v>0</v>
      </c>
      <c r="H3194" s="4" t="s">
        <v>11</v>
      </c>
      <c r="I3194" s="5">
        <v>0</v>
      </c>
      <c r="J3194" s="4">
        <v>45916.294247685182</v>
      </c>
    </row>
    <row r="3195" spans="1:10" x14ac:dyDescent="0.2">
      <c r="A3195" s="2" t="s">
        <v>10</v>
      </c>
      <c r="B3195" s="3" t="str">
        <f t="shared" si="59"/>
        <v>France - HCP Survey Email - June 2025</v>
      </c>
      <c r="C3195" s="3" t="str">
        <f>HYPERLINK("https://otsuka-europe-crm.veevavault.com/ui/#object/sent_email__v/VBLZ025E82GNPNG", "SE-000274911")</f>
        <v>SE-000274911</v>
      </c>
      <c r="D3195" s="4">
        <v>45916.387986111113</v>
      </c>
      <c r="E3195" s="5">
        <v>1</v>
      </c>
      <c r="F3195" s="5">
        <v>1</v>
      </c>
      <c r="G3195" s="5">
        <v>0</v>
      </c>
      <c r="H3195" s="4" t="s">
        <v>11</v>
      </c>
      <c r="I3195" s="5">
        <v>0</v>
      </c>
      <c r="J3195" s="4">
        <v>45916.294583333336</v>
      </c>
    </row>
    <row r="3196" spans="1:10" x14ac:dyDescent="0.2">
      <c r="A3196" s="2" t="s">
        <v>10</v>
      </c>
      <c r="B3196" s="3" t="str">
        <f t="shared" si="59"/>
        <v>France - HCP Survey Email - June 2025</v>
      </c>
      <c r="C3196" s="3" t="str">
        <f>HYPERLINK("https://otsuka-europe-crm.veevavault.com/ui/#object/sent_email__v/VBLZ025E82GNPNH", "SE-000274912")</f>
        <v>SE-000274912</v>
      </c>
      <c r="D3196" s="4" t="s">
        <v>11</v>
      </c>
      <c r="E3196" s="5">
        <v>0</v>
      </c>
      <c r="F3196" s="5">
        <v>0</v>
      </c>
      <c r="G3196" s="5">
        <v>0</v>
      </c>
      <c r="H3196" s="4" t="s">
        <v>11</v>
      </c>
      <c r="I3196" s="5">
        <v>0</v>
      </c>
      <c r="J3196" s="4">
        <v>45916.29478009259</v>
      </c>
    </row>
    <row r="3197" spans="1:10" x14ac:dyDescent="0.2">
      <c r="A3197" s="2" t="s">
        <v>10</v>
      </c>
      <c r="B3197" s="3" t="str">
        <f t="shared" si="59"/>
        <v>France - HCP Survey Email - June 2025</v>
      </c>
      <c r="C3197" s="3" t="str">
        <f>HYPERLINK("https://otsuka-europe-crm.veevavault.com/ui/#object/sent_email__v/VBLZ025E82GNPNJ", "SE-000274914")</f>
        <v>SE-000274914</v>
      </c>
      <c r="D3197" s="4" t="s">
        <v>11</v>
      </c>
      <c r="E3197" s="5">
        <v>0</v>
      </c>
      <c r="F3197" s="5">
        <v>0</v>
      </c>
      <c r="G3197" s="5">
        <v>0</v>
      </c>
      <c r="H3197" s="4" t="s">
        <v>11</v>
      </c>
      <c r="I3197" s="5">
        <v>0</v>
      </c>
      <c r="J3197" s="4">
        <v>45916.294351851851</v>
      </c>
    </row>
    <row r="3198" spans="1:10" x14ac:dyDescent="0.2">
      <c r="A3198" s="2" t="s">
        <v>10</v>
      </c>
      <c r="B3198" s="3" t="str">
        <f t="shared" si="59"/>
        <v>France - HCP Survey Email - June 2025</v>
      </c>
      <c r="C3198" s="3" t="str">
        <f>HYPERLINK("https://otsuka-europe-crm.veevavault.com/ui/#object/sent_email__v/VBLZ025E82GNPNL", "SE-000274916")</f>
        <v>SE-000274916</v>
      </c>
      <c r="D3198" s="4">
        <v>45916.33320601852</v>
      </c>
      <c r="E3198" s="5">
        <v>1</v>
      </c>
      <c r="F3198" s="5">
        <v>1</v>
      </c>
      <c r="G3198" s="5">
        <v>0</v>
      </c>
      <c r="H3198" s="4" t="s">
        <v>11</v>
      </c>
      <c r="I3198" s="5">
        <v>0</v>
      </c>
      <c r="J3198" s="4">
        <v>45916.29482638889</v>
      </c>
    </row>
    <row r="3199" spans="1:10" x14ac:dyDescent="0.2">
      <c r="A3199" s="2" t="s">
        <v>10</v>
      </c>
      <c r="B3199" s="3" t="str">
        <f t="shared" si="59"/>
        <v>France - HCP Survey Email - June 2025</v>
      </c>
      <c r="C3199" s="3" t="str">
        <f>HYPERLINK("https://otsuka-europe-crm.veevavault.com/ui/#object/sent_email__v/VBLZ025E82GNPNM", "SE-000274917")</f>
        <v>SE-000274917</v>
      </c>
      <c r="D3199" s="4" t="s">
        <v>11</v>
      </c>
      <c r="E3199" s="5">
        <v>0</v>
      </c>
      <c r="F3199" s="5">
        <v>0</v>
      </c>
      <c r="G3199" s="5">
        <v>0</v>
      </c>
      <c r="H3199" s="4" t="s">
        <v>11</v>
      </c>
      <c r="I3199" s="5">
        <v>0</v>
      </c>
      <c r="J3199" s="4">
        <v>45916.294178240743</v>
      </c>
    </row>
    <row r="3200" spans="1:10" x14ac:dyDescent="0.2">
      <c r="A3200" s="2" t="s">
        <v>10</v>
      </c>
      <c r="B3200" s="3" t="str">
        <f t="shared" si="59"/>
        <v>France - HCP Survey Email - June 2025</v>
      </c>
      <c r="C3200" s="3" t="str">
        <f>HYPERLINK("https://otsuka-europe-crm.veevavault.com/ui/#object/sent_email__v/VBLZ025E82GNPNN", "SE-000274918")</f>
        <v>SE-000274918</v>
      </c>
      <c r="D3200" s="4" t="s">
        <v>11</v>
      </c>
      <c r="E3200" s="5">
        <v>0</v>
      </c>
      <c r="F3200" s="5">
        <v>0</v>
      </c>
      <c r="G3200" s="5">
        <v>0</v>
      </c>
      <c r="H3200" s="4" t="s">
        <v>11</v>
      </c>
      <c r="I3200" s="5">
        <v>0</v>
      </c>
      <c r="J3200" s="4">
        <v>45916.294456018521</v>
      </c>
    </row>
    <row r="3201" spans="1:10" x14ac:dyDescent="0.2">
      <c r="A3201" s="2" t="s">
        <v>10</v>
      </c>
      <c r="B3201" s="3" t="str">
        <f t="shared" ref="B3201:B3264" si="60">HYPERLINK("https://otsuka-europe-crm.veevavault.com/ui/#object/approved_document__v/V5OZ025E82TMV97", "France - HCP Survey Email - June 2025")</f>
        <v>France - HCP Survey Email - June 2025</v>
      </c>
      <c r="C3201" s="3" t="str">
        <f>HYPERLINK("https://otsuka-europe-crm.veevavault.com/ui/#object/sent_email__v/VBLZ025E82GNPNO", "SE-000274919")</f>
        <v>SE-000274919</v>
      </c>
      <c r="D3201" s="4" t="s">
        <v>11</v>
      </c>
      <c r="E3201" s="5">
        <v>0</v>
      </c>
      <c r="F3201" s="5">
        <v>0</v>
      </c>
      <c r="G3201" s="5">
        <v>0</v>
      </c>
      <c r="H3201" s="4" t="s">
        <v>11</v>
      </c>
      <c r="I3201" s="5">
        <v>0</v>
      </c>
      <c r="J3201" s="4">
        <v>45916.294710648152</v>
      </c>
    </row>
    <row r="3202" spans="1:10" x14ac:dyDescent="0.2">
      <c r="A3202" s="2" t="s">
        <v>10</v>
      </c>
      <c r="B3202" s="3" t="str">
        <f t="shared" si="60"/>
        <v>France - HCP Survey Email - June 2025</v>
      </c>
      <c r="C3202" s="3" t="str">
        <f>HYPERLINK("https://otsuka-europe-crm.veevavault.com/ui/#object/sent_email__v/VBLZ025E82GNPNP", "SE-000274920")</f>
        <v>SE-000274920</v>
      </c>
      <c r="D3202" s="4" t="s">
        <v>11</v>
      </c>
      <c r="E3202" s="5">
        <v>0</v>
      </c>
      <c r="F3202" s="5">
        <v>0</v>
      </c>
      <c r="G3202" s="5">
        <v>0</v>
      </c>
      <c r="H3202" s="4" t="s">
        <v>11</v>
      </c>
      <c r="I3202" s="5">
        <v>0</v>
      </c>
      <c r="J3202" s="4">
        <v>45916.29483796296</v>
      </c>
    </row>
    <row r="3203" spans="1:10" x14ac:dyDescent="0.2">
      <c r="A3203" s="2" t="s">
        <v>10</v>
      </c>
      <c r="B3203" s="3" t="str">
        <f t="shared" si="60"/>
        <v>France - HCP Survey Email - June 2025</v>
      </c>
      <c r="C3203" s="3" t="str">
        <f>HYPERLINK("https://otsuka-europe-crm.veevavault.com/ui/#object/sent_email__v/VBLZ025E82GNPNQ", "SE-000274921")</f>
        <v>SE-000274921</v>
      </c>
      <c r="D3203" s="4" t="s">
        <v>11</v>
      </c>
      <c r="E3203" s="5">
        <v>0</v>
      </c>
      <c r="F3203" s="5">
        <v>0</v>
      </c>
      <c r="G3203" s="5">
        <v>0</v>
      </c>
      <c r="H3203" s="4" t="s">
        <v>11</v>
      </c>
      <c r="I3203" s="5">
        <v>0</v>
      </c>
      <c r="J3203" s="4">
        <v>45916.294340277775</v>
      </c>
    </row>
    <row r="3204" spans="1:10" x14ac:dyDescent="0.2">
      <c r="A3204" s="2" t="s">
        <v>10</v>
      </c>
      <c r="B3204" s="3" t="str">
        <f t="shared" si="60"/>
        <v>France - HCP Survey Email - June 2025</v>
      </c>
      <c r="C3204" s="3" t="str">
        <f>HYPERLINK("https://otsuka-europe-crm.veevavault.com/ui/#object/sent_email__v/VBLZ025E82GNPNR", "SE-000274922")</f>
        <v>SE-000274922</v>
      </c>
      <c r="D3204" s="4" t="s">
        <v>11</v>
      </c>
      <c r="E3204" s="5">
        <v>0</v>
      </c>
      <c r="F3204" s="5">
        <v>0</v>
      </c>
      <c r="G3204" s="5">
        <v>0</v>
      </c>
      <c r="H3204" s="4" t="s">
        <v>11</v>
      </c>
      <c r="I3204" s="5">
        <v>0</v>
      </c>
      <c r="J3204" s="4">
        <v>45916.294502314813</v>
      </c>
    </row>
    <row r="3205" spans="1:10" x14ac:dyDescent="0.2">
      <c r="A3205" s="2" t="s">
        <v>10</v>
      </c>
      <c r="B3205" s="3" t="str">
        <f t="shared" si="60"/>
        <v>France - HCP Survey Email - June 2025</v>
      </c>
      <c r="C3205" s="3" t="str">
        <f>HYPERLINK("https://otsuka-europe-crm.veevavault.com/ui/#object/sent_email__v/VBLZ025E82GNPNS", "SE-000274923")</f>
        <v>SE-000274923</v>
      </c>
      <c r="D3205" s="4" t="s">
        <v>11</v>
      </c>
      <c r="E3205" s="5">
        <v>0</v>
      </c>
      <c r="F3205" s="5">
        <v>0</v>
      </c>
      <c r="G3205" s="5">
        <v>0</v>
      </c>
      <c r="H3205" s="4" t="s">
        <v>11</v>
      </c>
      <c r="I3205" s="5">
        <v>0</v>
      </c>
      <c r="J3205" s="4">
        <v>45916.294710648152</v>
      </c>
    </row>
    <row r="3206" spans="1:10" x14ac:dyDescent="0.2">
      <c r="A3206" s="2" t="s">
        <v>10</v>
      </c>
      <c r="B3206" s="3" t="str">
        <f t="shared" si="60"/>
        <v>France - HCP Survey Email - June 2025</v>
      </c>
      <c r="C3206" s="3" t="str">
        <f>HYPERLINK("https://otsuka-europe-crm.veevavault.com/ui/#object/sent_email__v/VBLZ025E82GNPNT", "SE-000274924")</f>
        <v>SE-000274924</v>
      </c>
      <c r="D3206" s="4">
        <v>45928.818113425928</v>
      </c>
      <c r="E3206" s="5">
        <v>1</v>
      </c>
      <c r="F3206" s="5">
        <v>3</v>
      </c>
      <c r="G3206" s="5">
        <v>0</v>
      </c>
      <c r="H3206" s="4" t="s">
        <v>11</v>
      </c>
      <c r="I3206" s="5">
        <v>0</v>
      </c>
      <c r="J3206" s="4">
        <v>45916.294895833336</v>
      </c>
    </row>
    <row r="3207" spans="1:10" x14ac:dyDescent="0.2">
      <c r="A3207" s="2" t="s">
        <v>10</v>
      </c>
      <c r="B3207" s="3" t="str">
        <f t="shared" si="60"/>
        <v>France - HCP Survey Email - June 2025</v>
      </c>
      <c r="C3207" s="3" t="str">
        <f>HYPERLINK("https://otsuka-europe-crm.veevavault.com/ui/#object/sent_email__v/VBLZ025E82GNPNU", "SE-000274925")</f>
        <v>SE-000274925</v>
      </c>
      <c r="D3207" s="4" t="s">
        <v>11</v>
      </c>
      <c r="E3207" s="5">
        <v>0</v>
      </c>
      <c r="F3207" s="5">
        <v>0</v>
      </c>
      <c r="G3207" s="5">
        <v>0</v>
      </c>
      <c r="H3207" s="4" t="s">
        <v>11</v>
      </c>
      <c r="I3207" s="5">
        <v>0</v>
      </c>
      <c r="J3207" s="4">
        <v>45916.294317129628</v>
      </c>
    </row>
    <row r="3208" spans="1:10" x14ac:dyDescent="0.2">
      <c r="A3208" s="2" t="s">
        <v>10</v>
      </c>
      <c r="B3208" s="3" t="str">
        <f t="shared" si="60"/>
        <v>France - HCP Survey Email - June 2025</v>
      </c>
      <c r="C3208" s="3" t="str">
        <f>HYPERLINK("https://otsuka-europe-crm.veevavault.com/ui/#object/sent_email__v/VBLZ025E82GNPNV", "SE-000274926")</f>
        <v>SE-000274926</v>
      </c>
      <c r="D3208" s="4" t="s">
        <v>11</v>
      </c>
      <c r="E3208" s="5">
        <v>0</v>
      </c>
      <c r="F3208" s="5">
        <v>0</v>
      </c>
      <c r="G3208" s="5">
        <v>0</v>
      </c>
      <c r="H3208" s="4" t="s">
        <v>11</v>
      </c>
      <c r="I3208" s="5">
        <v>0</v>
      </c>
      <c r="J3208" s="4">
        <v>45916.294537037036</v>
      </c>
    </row>
    <row r="3209" spans="1:10" x14ac:dyDescent="0.2">
      <c r="A3209" s="2" t="s">
        <v>10</v>
      </c>
      <c r="B3209" s="3" t="str">
        <f t="shared" si="60"/>
        <v>France - HCP Survey Email - June 2025</v>
      </c>
      <c r="C3209" s="3" t="str">
        <f>HYPERLINK("https://otsuka-europe-crm.veevavault.com/ui/#object/sent_email__v/VBLZ025E82GNPNW", "SE-000274927")</f>
        <v>SE-000274927</v>
      </c>
      <c r="D3209" s="4">
        <v>45917.445740740739</v>
      </c>
      <c r="E3209" s="5">
        <v>1</v>
      </c>
      <c r="F3209" s="5">
        <v>2</v>
      </c>
      <c r="G3209" s="5">
        <v>0</v>
      </c>
      <c r="H3209" s="4" t="s">
        <v>11</v>
      </c>
      <c r="I3209" s="5">
        <v>0</v>
      </c>
      <c r="J3209" s="4">
        <v>45916.29478009259</v>
      </c>
    </row>
    <row r="3210" spans="1:10" x14ac:dyDescent="0.2">
      <c r="A3210" s="2" t="s">
        <v>10</v>
      </c>
      <c r="B3210" s="3" t="str">
        <f t="shared" si="60"/>
        <v>France - HCP Survey Email - June 2025</v>
      </c>
      <c r="C3210" s="3" t="str">
        <f>HYPERLINK("https://otsuka-europe-crm.veevavault.com/ui/#object/sent_email__v/VBLZ025E82GNPNZ", "SE-000274930")</f>
        <v>SE-000274930</v>
      </c>
      <c r="D3210" s="4" t="s">
        <v>11</v>
      </c>
      <c r="E3210" s="5">
        <v>0</v>
      </c>
      <c r="F3210" s="5">
        <v>0</v>
      </c>
      <c r="G3210" s="5">
        <v>0</v>
      </c>
      <c r="H3210" s="4" t="s">
        <v>11</v>
      </c>
      <c r="I3210" s="5">
        <v>0</v>
      </c>
      <c r="J3210" s="4">
        <v>45916.294594907406</v>
      </c>
    </row>
    <row r="3211" spans="1:10" x14ac:dyDescent="0.2">
      <c r="A3211" s="2" t="s">
        <v>10</v>
      </c>
      <c r="B3211" s="3" t="str">
        <f t="shared" si="60"/>
        <v>France - HCP Survey Email - June 2025</v>
      </c>
      <c r="C3211" s="3" t="str">
        <f>HYPERLINK("https://otsuka-europe-crm.veevavault.com/ui/#object/sent_email__v/VBLZ025E82GNPO0", "SE-000274931")</f>
        <v>SE-000274931</v>
      </c>
      <c r="D3211" s="4">
        <v>45916.350173611114</v>
      </c>
      <c r="E3211" s="5">
        <v>1</v>
      </c>
      <c r="F3211" s="5">
        <v>4</v>
      </c>
      <c r="G3211" s="5">
        <v>0</v>
      </c>
      <c r="H3211" s="4" t="s">
        <v>11</v>
      </c>
      <c r="I3211" s="5">
        <v>0</v>
      </c>
      <c r="J3211" s="4">
        <v>45916.294791666667</v>
      </c>
    </row>
    <row r="3212" spans="1:10" x14ac:dyDescent="0.2">
      <c r="A3212" s="2" t="s">
        <v>10</v>
      </c>
      <c r="B3212" s="3" t="str">
        <f t="shared" si="60"/>
        <v>France - HCP Survey Email - June 2025</v>
      </c>
      <c r="C3212" s="3" t="str">
        <f>HYPERLINK("https://otsuka-europe-crm.veevavault.com/ui/#object/sent_email__v/VBLZ025E82GNPO1", "SE-000274932")</f>
        <v>SE-000274932</v>
      </c>
      <c r="D3212" s="4" t="s">
        <v>11</v>
      </c>
      <c r="E3212" s="5">
        <v>0</v>
      </c>
      <c r="F3212" s="5">
        <v>0</v>
      </c>
      <c r="G3212" s="5">
        <v>0</v>
      </c>
      <c r="H3212" s="4" t="s">
        <v>11</v>
      </c>
      <c r="I3212" s="5">
        <v>0</v>
      </c>
      <c r="J3212" s="4">
        <v>45916.294236111113</v>
      </c>
    </row>
    <row r="3213" spans="1:10" x14ac:dyDescent="0.2">
      <c r="A3213" s="2" t="s">
        <v>10</v>
      </c>
      <c r="B3213" s="3" t="str">
        <f t="shared" si="60"/>
        <v>France - HCP Survey Email - June 2025</v>
      </c>
      <c r="C3213" s="3" t="str">
        <f>HYPERLINK("https://otsuka-europe-crm.veevavault.com/ui/#object/sent_email__v/VBLZ025E82GNPO2", "SE-000274933")</f>
        <v>SE-000274933</v>
      </c>
      <c r="D3213" s="4" t="s">
        <v>11</v>
      </c>
      <c r="E3213" s="5">
        <v>0</v>
      </c>
      <c r="F3213" s="5">
        <v>0</v>
      </c>
      <c r="G3213" s="5">
        <v>0</v>
      </c>
      <c r="H3213" s="4" t="s">
        <v>11</v>
      </c>
      <c r="I3213" s="5">
        <v>0</v>
      </c>
      <c r="J3213" s="4">
        <v>45916.294490740744</v>
      </c>
    </row>
    <row r="3214" spans="1:10" x14ac:dyDescent="0.2">
      <c r="A3214" s="2" t="s">
        <v>10</v>
      </c>
      <c r="B3214" s="3" t="str">
        <f t="shared" si="60"/>
        <v>France - HCP Survey Email - June 2025</v>
      </c>
      <c r="C3214" s="3" t="str">
        <f>HYPERLINK("https://otsuka-europe-crm.veevavault.com/ui/#object/sent_email__v/VBLZ025E82GNPO3", "SE-000274934")</f>
        <v>SE-000274934</v>
      </c>
      <c r="D3214" s="4">
        <v>45916.599791666667</v>
      </c>
      <c r="E3214" s="5">
        <v>1</v>
      </c>
      <c r="F3214" s="5">
        <v>1</v>
      </c>
      <c r="G3214" s="5">
        <v>1</v>
      </c>
      <c r="H3214" s="4">
        <v>45916.599791666667</v>
      </c>
      <c r="I3214" s="5">
        <v>1</v>
      </c>
      <c r="J3214" s="4">
        <v>45916.294618055559</v>
      </c>
    </row>
    <row r="3215" spans="1:10" x14ac:dyDescent="0.2">
      <c r="A3215" s="2" t="s">
        <v>10</v>
      </c>
      <c r="B3215" s="3" t="str">
        <f t="shared" si="60"/>
        <v>France - HCP Survey Email - June 2025</v>
      </c>
      <c r="C3215" s="3" t="str">
        <f>HYPERLINK("https://otsuka-europe-crm.veevavault.com/ui/#object/sent_email__v/VBLZ025E82GNPO4", "SE-000274935")</f>
        <v>SE-000274935</v>
      </c>
      <c r="D3215" s="4" t="s">
        <v>11</v>
      </c>
      <c r="E3215" s="5">
        <v>0</v>
      </c>
      <c r="F3215" s="5">
        <v>0</v>
      </c>
      <c r="G3215" s="5">
        <v>0</v>
      </c>
      <c r="H3215" s="4" t="s">
        <v>11</v>
      </c>
      <c r="I3215" s="5">
        <v>0</v>
      </c>
      <c r="J3215" s="4">
        <v>45916.29483796296</v>
      </c>
    </row>
    <row r="3216" spans="1:10" x14ac:dyDescent="0.2">
      <c r="A3216" s="2" t="s">
        <v>10</v>
      </c>
      <c r="B3216" s="3" t="str">
        <f t="shared" si="60"/>
        <v>France - HCP Survey Email - June 2025</v>
      </c>
      <c r="C3216" s="3" t="str">
        <f>HYPERLINK("https://otsuka-europe-crm.veevavault.com/ui/#object/sent_email__v/VBLZ025E82GNPO5", "SE-000274936")</f>
        <v>SE-000274936</v>
      </c>
      <c r="D3216" s="4" t="s">
        <v>11</v>
      </c>
      <c r="E3216" s="5">
        <v>0</v>
      </c>
      <c r="F3216" s="5">
        <v>0</v>
      </c>
      <c r="G3216" s="5">
        <v>0</v>
      </c>
      <c r="H3216" s="4" t="s">
        <v>11</v>
      </c>
      <c r="I3216" s="5">
        <v>0</v>
      </c>
      <c r="J3216" s="4">
        <v>45916.294293981482</v>
      </c>
    </row>
    <row r="3217" spans="1:10" x14ac:dyDescent="0.2">
      <c r="A3217" s="2" t="s">
        <v>10</v>
      </c>
      <c r="B3217" s="3" t="str">
        <f t="shared" si="60"/>
        <v>France - HCP Survey Email - June 2025</v>
      </c>
      <c r="C3217" s="3" t="str">
        <f>HYPERLINK("https://otsuka-europe-crm.veevavault.com/ui/#object/sent_email__v/VBLZ025E82GNPO6", "SE-000274937")</f>
        <v>SE-000274937</v>
      </c>
      <c r="D3217" s="4">
        <v>45917.347858796296</v>
      </c>
      <c r="E3217" s="5">
        <v>1</v>
      </c>
      <c r="F3217" s="5">
        <v>2</v>
      </c>
      <c r="G3217" s="5">
        <v>0</v>
      </c>
      <c r="H3217" s="4" t="s">
        <v>11</v>
      </c>
      <c r="I3217" s="5">
        <v>0</v>
      </c>
      <c r="J3217" s="4">
        <v>45916.294490740744</v>
      </c>
    </row>
    <row r="3218" spans="1:10" x14ac:dyDescent="0.2">
      <c r="A3218" s="2" t="s">
        <v>10</v>
      </c>
      <c r="B3218" s="3" t="str">
        <f t="shared" si="60"/>
        <v>France - HCP Survey Email - June 2025</v>
      </c>
      <c r="C3218" s="3" t="str">
        <f>HYPERLINK("https://otsuka-europe-crm.veevavault.com/ui/#object/sent_email__v/VBLZ025E82GNPO7", "SE-000274938")</f>
        <v>SE-000274938</v>
      </c>
      <c r="D3218" s="4" t="s">
        <v>11</v>
      </c>
      <c r="E3218" s="5">
        <v>0</v>
      </c>
      <c r="F3218" s="5">
        <v>0</v>
      </c>
      <c r="G3218" s="5">
        <v>0</v>
      </c>
      <c r="H3218" s="4" t="s">
        <v>11</v>
      </c>
      <c r="I3218" s="5">
        <v>0</v>
      </c>
      <c r="J3218" s="4">
        <v>45916.294942129629</v>
      </c>
    </row>
    <row r="3219" spans="1:10" x14ac:dyDescent="0.2">
      <c r="A3219" s="2" t="s">
        <v>10</v>
      </c>
      <c r="B3219" s="3" t="str">
        <f t="shared" si="60"/>
        <v>France - HCP Survey Email - June 2025</v>
      </c>
      <c r="C3219" s="3" t="str">
        <f>HYPERLINK("https://otsuka-europe-crm.veevavault.com/ui/#object/sent_email__v/VBLZ025E82GNPO8", "SE-000274939")</f>
        <v>SE-000274939</v>
      </c>
      <c r="D3219" s="4" t="s">
        <v>11</v>
      </c>
      <c r="E3219" s="5">
        <v>0</v>
      </c>
      <c r="F3219" s="5">
        <v>0</v>
      </c>
      <c r="G3219" s="5">
        <v>0</v>
      </c>
      <c r="H3219" s="4" t="s">
        <v>11</v>
      </c>
      <c r="I3219" s="5">
        <v>0</v>
      </c>
      <c r="J3219" s="4">
        <v>45916.298483796294</v>
      </c>
    </row>
    <row r="3220" spans="1:10" x14ac:dyDescent="0.2">
      <c r="A3220" s="2" t="s">
        <v>10</v>
      </c>
      <c r="B3220" s="3" t="str">
        <f t="shared" si="60"/>
        <v>France - HCP Survey Email - June 2025</v>
      </c>
      <c r="C3220" s="3" t="str">
        <f>HYPERLINK("https://otsuka-europe-crm.veevavault.com/ui/#object/sent_email__v/VBLZ025E82GNPO9", "SE-000274940")</f>
        <v>SE-000274940</v>
      </c>
      <c r="D3220" s="4">
        <v>45916.366736111115</v>
      </c>
      <c r="E3220" s="5">
        <v>1</v>
      </c>
      <c r="F3220" s="5">
        <v>1</v>
      </c>
      <c r="G3220" s="5">
        <v>0</v>
      </c>
      <c r="H3220" s="4" t="s">
        <v>11</v>
      </c>
      <c r="I3220" s="5">
        <v>0</v>
      </c>
      <c r="J3220" s="4">
        <v>45916.294270833336</v>
      </c>
    </row>
    <row r="3221" spans="1:10" x14ac:dyDescent="0.2">
      <c r="A3221" s="2" t="s">
        <v>10</v>
      </c>
      <c r="B3221" s="3" t="str">
        <f t="shared" si="60"/>
        <v>France - HCP Survey Email - June 2025</v>
      </c>
      <c r="C3221" s="3" t="str">
        <f>HYPERLINK("https://otsuka-europe-crm.veevavault.com/ui/#object/sent_email__v/VBLZ025E82GNPOA", "SE-000274941")</f>
        <v>SE-000274941</v>
      </c>
      <c r="D3221" s="4" t="s">
        <v>11</v>
      </c>
      <c r="E3221" s="5">
        <v>0</v>
      </c>
      <c r="F3221" s="5">
        <v>0</v>
      </c>
      <c r="G3221" s="5">
        <v>0</v>
      </c>
      <c r="H3221" s="4" t="s">
        <v>11</v>
      </c>
      <c r="I3221" s="5">
        <v>0</v>
      </c>
      <c r="J3221" s="4">
        <v>45916.294560185182</v>
      </c>
    </row>
    <row r="3222" spans="1:10" x14ac:dyDescent="0.2">
      <c r="A3222" s="2" t="s">
        <v>10</v>
      </c>
      <c r="B3222" s="3" t="str">
        <f t="shared" si="60"/>
        <v>France - HCP Survey Email - June 2025</v>
      </c>
      <c r="C3222" s="3" t="str">
        <f>HYPERLINK("https://otsuka-europe-crm.veevavault.com/ui/#object/sent_email__v/VBLZ025E82GNPOC", "SE-000274943")</f>
        <v>SE-000274943</v>
      </c>
      <c r="D3222" s="4" t="s">
        <v>11</v>
      </c>
      <c r="E3222" s="5">
        <v>0</v>
      </c>
      <c r="F3222" s="5">
        <v>0</v>
      </c>
      <c r="G3222" s="5">
        <v>0</v>
      </c>
      <c r="H3222" s="4" t="s">
        <v>11</v>
      </c>
      <c r="I3222" s="5">
        <v>0</v>
      </c>
      <c r="J3222" s="4">
        <v>45916.294259259259</v>
      </c>
    </row>
    <row r="3223" spans="1:10" x14ac:dyDescent="0.2">
      <c r="A3223" s="2" t="s">
        <v>10</v>
      </c>
      <c r="B3223" s="3" t="str">
        <f t="shared" si="60"/>
        <v>France - HCP Survey Email - June 2025</v>
      </c>
      <c r="C3223" s="3" t="str">
        <f>HYPERLINK("https://otsuka-europe-crm.veevavault.com/ui/#object/sent_email__v/VBLZ025E82GNPOD", "SE-000274944")</f>
        <v>SE-000274944</v>
      </c>
      <c r="D3223" s="4" t="s">
        <v>11</v>
      </c>
      <c r="E3223" s="5">
        <v>0</v>
      </c>
      <c r="F3223" s="5">
        <v>0</v>
      </c>
      <c r="G3223" s="5">
        <v>0</v>
      </c>
      <c r="H3223" s="4" t="s">
        <v>11</v>
      </c>
      <c r="I3223" s="5">
        <v>0</v>
      </c>
      <c r="J3223" s="4">
        <v>45916.294502314813</v>
      </c>
    </row>
    <row r="3224" spans="1:10" x14ac:dyDescent="0.2">
      <c r="A3224" s="2" t="s">
        <v>10</v>
      </c>
      <c r="B3224" s="3" t="str">
        <f t="shared" si="60"/>
        <v>France - HCP Survey Email - June 2025</v>
      </c>
      <c r="C3224" s="3" t="str">
        <f>HYPERLINK("https://otsuka-europe-crm.veevavault.com/ui/#object/sent_email__v/VBLZ025E82GNPOE", "SE-000274945")</f>
        <v>SE-000274945</v>
      </c>
      <c r="D3224" s="4" t="s">
        <v>11</v>
      </c>
      <c r="E3224" s="5">
        <v>0</v>
      </c>
      <c r="F3224" s="5">
        <v>0</v>
      </c>
      <c r="G3224" s="5">
        <v>0</v>
      </c>
      <c r="H3224" s="4" t="s">
        <v>11</v>
      </c>
      <c r="I3224" s="5">
        <v>0</v>
      </c>
      <c r="J3224" s="4">
        <v>45916.294722222221</v>
      </c>
    </row>
    <row r="3225" spans="1:10" x14ac:dyDescent="0.2">
      <c r="A3225" s="2" t="s">
        <v>10</v>
      </c>
      <c r="B3225" s="3" t="str">
        <f t="shared" si="60"/>
        <v>France - HCP Survey Email - June 2025</v>
      </c>
      <c r="C3225" s="3" t="str">
        <f>HYPERLINK("https://otsuka-europe-crm.veevavault.com/ui/#object/sent_email__v/VBLZ025E82GNPOG", "SE-000274947")</f>
        <v>SE-000274947</v>
      </c>
      <c r="D3225" s="4" t="s">
        <v>11</v>
      </c>
      <c r="E3225" s="5">
        <v>0</v>
      </c>
      <c r="F3225" s="5">
        <v>0</v>
      </c>
      <c r="G3225" s="5">
        <v>0</v>
      </c>
      <c r="H3225" s="4" t="s">
        <v>11</v>
      </c>
      <c r="I3225" s="5">
        <v>0</v>
      </c>
      <c r="J3225" s="4">
        <v>45916.294317129628</v>
      </c>
    </row>
    <row r="3226" spans="1:10" x14ac:dyDescent="0.2">
      <c r="A3226" s="2" t="s">
        <v>10</v>
      </c>
      <c r="B3226" s="3" t="str">
        <f t="shared" si="60"/>
        <v>France - HCP Survey Email - June 2025</v>
      </c>
      <c r="C3226" s="3" t="str">
        <f>HYPERLINK("https://otsuka-europe-crm.veevavault.com/ui/#object/sent_email__v/VBLZ025E82GNPOH", "SE-000274948")</f>
        <v>SE-000274948</v>
      </c>
      <c r="D3226" s="4" t="s">
        <v>11</v>
      </c>
      <c r="E3226" s="5">
        <v>0</v>
      </c>
      <c r="F3226" s="5">
        <v>0</v>
      </c>
      <c r="G3226" s="5">
        <v>0</v>
      </c>
      <c r="H3226" s="4" t="s">
        <v>11</v>
      </c>
      <c r="I3226" s="5">
        <v>0</v>
      </c>
      <c r="J3226" s="4">
        <v>45916.294502314813</v>
      </c>
    </row>
    <row r="3227" spans="1:10" x14ac:dyDescent="0.2">
      <c r="A3227" s="2" t="s">
        <v>10</v>
      </c>
      <c r="B3227" s="3" t="str">
        <f t="shared" si="60"/>
        <v>France - HCP Survey Email - June 2025</v>
      </c>
      <c r="C3227" s="3" t="str">
        <f>HYPERLINK("https://otsuka-europe-crm.veevavault.com/ui/#object/sent_email__v/VBLZ025E82GNPOI", "SE-000274949")</f>
        <v>SE-000274949</v>
      </c>
      <c r="D3227" s="4" t="s">
        <v>11</v>
      </c>
      <c r="E3227" s="5">
        <v>0</v>
      </c>
      <c r="F3227" s="5">
        <v>0</v>
      </c>
      <c r="G3227" s="5">
        <v>0</v>
      </c>
      <c r="H3227" s="4" t="s">
        <v>11</v>
      </c>
      <c r="I3227" s="5">
        <v>0</v>
      </c>
      <c r="J3227" s="4">
        <v>45916.294444444444</v>
      </c>
    </row>
    <row r="3228" spans="1:10" x14ac:dyDescent="0.2">
      <c r="A3228" s="2" t="s">
        <v>10</v>
      </c>
      <c r="B3228" s="3" t="str">
        <f t="shared" si="60"/>
        <v>France - HCP Survey Email - June 2025</v>
      </c>
      <c r="C3228" s="3" t="str">
        <f>HYPERLINK("https://otsuka-europe-crm.veevavault.com/ui/#object/sent_email__v/VBLZ025E82GNPOJ", "SE-000274950")</f>
        <v>SE-000274950</v>
      </c>
      <c r="D3228" s="4">
        <v>45916.294895833336</v>
      </c>
      <c r="E3228" s="5">
        <v>1</v>
      </c>
      <c r="F3228" s="5">
        <v>2</v>
      </c>
      <c r="G3228" s="5">
        <v>1</v>
      </c>
      <c r="H3228" s="4">
        <v>45916.294895833336</v>
      </c>
      <c r="I3228" s="5">
        <v>2</v>
      </c>
      <c r="J3228" s="4">
        <v>45916.294664351852</v>
      </c>
    </row>
    <row r="3229" spans="1:10" x14ac:dyDescent="0.2">
      <c r="A3229" s="2" t="s">
        <v>10</v>
      </c>
      <c r="B3229" s="3" t="str">
        <f t="shared" si="60"/>
        <v>France - HCP Survey Email - June 2025</v>
      </c>
      <c r="C3229" s="3" t="str">
        <f>HYPERLINK("https://otsuka-europe-crm.veevavault.com/ui/#object/sent_email__v/VBLZ025E82GNPOK", "SE-000274951")</f>
        <v>SE-000274951</v>
      </c>
      <c r="D3229" s="4">
        <v>45916.295555555553</v>
      </c>
      <c r="E3229" s="5">
        <v>1</v>
      </c>
      <c r="F3229" s="5">
        <v>1</v>
      </c>
      <c r="G3229" s="5">
        <v>0</v>
      </c>
      <c r="H3229" s="4" t="s">
        <v>11</v>
      </c>
      <c r="I3229" s="5">
        <v>0</v>
      </c>
      <c r="J3229" s="4">
        <v>45916.294999999998</v>
      </c>
    </row>
    <row r="3230" spans="1:10" x14ac:dyDescent="0.2">
      <c r="A3230" s="2" t="s">
        <v>10</v>
      </c>
      <c r="B3230" s="3" t="str">
        <f t="shared" si="60"/>
        <v>France - HCP Survey Email - June 2025</v>
      </c>
      <c r="C3230" s="3" t="str">
        <f>HYPERLINK("https://otsuka-europe-crm.veevavault.com/ui/#object/sent_email__v/VBLZ025E82GNPOL", "SE-000274952")</f>
        <v>SE-000274952</v>
      </c>
      <c r="D3230" s="4" t="s">
        <v>11</v>
      </c>
      <c r="E3230" s="5">
        <v>0</v>
      </c>
      <c r="F3230" s="5">
        <v>0</v>
      </c>
      <c r="G3230" s="5">
        <v>0</v>
      </c>
      <c r="H3230" s="4" t="s">
        <v>11</v>
      </c>
      <c r="I3230" s="5">
        <v>0</v>
      </c>
      <c r="J3230" s="4">
        <v>45916.294328703705</v>
      </c>
    </row>
    <row r="3231" spans="1:10" x14ac:dyDescent="0.2">
      <c r="A3231" s="2" t="s">
        <v>10</v>
      </c>
      <c r="B3231" s="3" t="str">
        <f t="shared" si="60"/>
        <v>France - HCP Survey Email - June 2025</v>
      </c>
      <c r="C3231" s="3" t="str">
        <f>HYPERLINK("https://otsuka-europe-crm.veevavault.com/ui/#object/sent_email__v/VBLZ025E82GNPOM", "SE-000274953")</f>
        <v>SE-000274953</v>
      </c>
      <c r="D3231" s="4">
        <v>45916.305162037039</v>
      </c>
      <c r="E3231" s="5">
        <v>1</v>
      </c>
      <c r="F3231" s="5">
        <v>2</v>
      </c>
      <c r="G3231" s="5">
        <v>0</v>
      </c>
      <c r="H3231" s="4" t="s">
        <v>11</v>
      </c>
      <c r="I3231" s="5">
        <v>0</v>
      </c>
      <c r="J3231" s="4">
        <v>45916.294421296298</v>
      </c>
    </row>
    <row r="3232" spans="1:10" x14ac:dyDescent="0.2">
      <c r="A3232" s="2" t="s">
        <v>10</v>
      </c>
      <c r="B3232" s="3" t="str">
        <f t="shared" si="60"/>
        <v>France - HCP Survey Email - June 2025</v>
      </c>
      <c r="C3232" s="3" t="str">
        <f>HYPERLINK("https://otsuka-europe-crm.veevavault.com/ui/#object/sent_email__v/VBLZ025E82GNPON", "SE-000274954")</f>
        <v>SE-000274954</v>
      </c>
      <c r="D3232" s="4" t="s">
        <v>11</v>
      </c>
      <c r="E3232" s="5">
        <v>0</v>
      </c>
      <c r="F3232" s="5">
        <v>0</v>
      </c>
      <c r="G3232" s="5">
        <v>0</v>
      </c>
      <c r="H3232" s="4" t="s">
        <v>11</v>
      </c>
      <c r="I3232" s="5">
        <v>0</v>
      </c>
      <c r="J3232" s="4">
        <v>45916.294814814813</v>
      </c>
    </row>
    <row r="3233" spans="1:10" x14ac:dyDescent="0.2">
      <c r="A3233" s="2" t="s">
        <v>10</v>
      </c>
      <c r="B3233" s="3" t="str">
        <f t="shared" si="60"/>
        <v>France - HCP Survey Email - June 2025</v>
      </c>
      <c r="C3233" s="3" t="str">
        <f>HYPERLINK("https://otsuka-europe-crm.veevavault.com/ui/#object/sent_email__v/VBLZ025E82GNPOP", "SE-000274956")</f>
        <v>SE-000274956</v>
      </c>
      <c r="D3233" s="4">
        <v>45916.35365740741</v>
      </c>
      <c r="E3233" s="5">
        <v>1</v>
      </c>
      <c r="F3233" s="5">
        <v>2</v>
      </c>
      <c r="G3233" s="5">
        <v>1</v>
      </c>
      <c r="H3233" s="4">
        <v>45916.355127314811</v>
      </c>
      <c r="I3233" s="5">
        <v>1</v>
      </c>
      <c r="J3233" s="4">
        <v>45916.294293981482</v>
      </c>
    </row>
    <row r="3234" spans="1:10" x14ac:dyDescent="0.2">
      <c r="A3234" s="2" t="s">
        <v>10</v>
      </c>
      <c r="B3234" s="3" t="str">
        <f t="shared" si="60"/>
        <v>France - HCP Survey Email - June 2025</v>
      </c>
      <c r="C3234" s="3" t="str">
        <f>HYPERLINK("https://otsuka-europe-crm.veevavault.com/ui/#object/sent_email__v/VBLZ025E82GNPOQ", "SE-000274957")</f>
        <v>SE-000274957</v>
      </c>
      <c r="D3234" s="4">
        <v>45916.356122685182</v>
      </c>
      <c r="E3234" s="5">
        <v>1</v>
      </c>
      <c r="F3234" s="5">
        <v>1</v>
      </c>
      <c r="G3234" s="5">
        <v>0</v>
      </c>
      <c r="H3234" s="4" t="s">
        <v>11</v>
      </c>
      <c r="I3234" s="5">
        <v>0</v>
      </c>
      <c r="J3234" s="4">
        <v>45916.294641203705</v>
      </c>
    </row>
    <row r="3235" spans="1:10" x14ac:dyDescent="0.2">
      <c r="A3235" s="2" t="s">
        <v>10</v>
      </c>
      <c r="B3235" s="3" t="str">
        <f t="shared" si="60"/>
        <v>France - HCP Survey Email - June 2025</v>
      </c>
      <c r="C3235" s="3" t="str">
        <f>HYPERLINK("https://otsuka-europe-crm.veevavault.com/ui/#object/sent_email__v/VBLZ025E82GNPOR", "SE-000274958")</f>
        <v>SE-000274958</v>
      </c>
      <c r="D3235" s="4">
        <v>45916.759629629632</v>
      </c>
      <c r="E3235" s="5">
        <v>1</v>
      </c>
      <c r="F3235" s="5">
        <v>2</v>
      </c>
      <c r="G3235" s="5">
        <v>0</v>
      </c>
      <c r="H3235" s="4" t="s">
        <v>11</v>
      </c>
      <c r="I3235" s="5">
        <v>0</v>
      </c>
      <c r="J3235" s="4">
        <v>45916.294872685183</v>
      </c>
    </row>
    <row r="3236" spans="1:10" x14ac:dyDescent="0.2">
      <c r="A3236" s="2" t="s">
        <v>10</v>
      </c>
      <c r="B3236" s="3" t="str">
        <f t="shared" si="60"/>
        <v>France - HCP Survey Email - June 2025</v>
      </c>
      <c r="C3236" s="3" t="str">
        <f>HYPERLINK("https://otsuka-europe-crm.veevavault.com/ui/#object/sent_email__v/VBLZ025E82GNPOS", "SE-000274959")</f>
        <v>SE-000274959</v>
      </c>
      <c r="D3236" s="4" t="s">
        <v>11</v>
      </c>
      <c r="E3236" s="5">
        <v>0</v>
      </c>
      <c r="F3236" s="5">
        <v>0</v>
      </c>
      <c r="G3236" s="5">
        <v>0</v>
      </c>
      <c r="H3236" s="4" t="s">
        <v>11</v>
      </c>
      <c r="I3236" s="5">
        <v>0</v>
      </c>
      <c r="J3236" s="4">
        <v>45916.294270833336</v>
      </c>
    </row>
    <row r="3237" spans="1:10" x14ac:dyDescent="0.2">
      <c r="A3237" s="2" t="s">
        <v>10</v>
      </c>
      <c r="B3237" s="3" t="str">
        <f t="shared" si="60"/>
        <v>France - HCP Survey Email - June 2025</v>
      </c>
      <c r="C3237" s="3" t="str">
        <f>HYPERLINK("https://otsuka-europe-crm.veevavault.com/ui/#object/sent_email__v/VBLZ025E82GNPOU", "SE-000274961")</f>
        <v>SE-000274961</v>
      </c>
      <c r="D3237" s="4" t="s">
        <v>11</v>
      </c>
      <c r="E3237" s="5">
        <v>0</v>
      </c>
      <c r="F3237" s="5">
        <v>0</v>
      </c>
      <c r="G3237" s="5">
        <v>0</v>
      </c>
      <c r="H3237" s="4" t="s">
        <v>11</v>
      </c>
      <c r="I3237" s="5">
        <v>0</v>
      </c>
      <c r="J3237" s="4">
        <v>45916.294710648152</v>
      </c>
    </row>
    <row r="3238" spans="1:10" x14ac:dyDescent="0.2">
      <c r="A3238" s="2" t="s">
        <v>10</v>
      </c>
      <c r="B3238" s="3" t="str">
        <f t="shared" si="60"/>
        <v>France - HCP Survey Email - June 2025</v>
      </c>
      <c r="C3238" s="3" t="str">
        <f>HYPERLINK("https://otsuka-europe-crm.veevavault.com/ui/#object/sent_email__v/VBLZ025E82GNPOV", "SE-000274962")</f>
        <v>SE-000274962</v>
      </c>
      <c r="D3238" s="4" t="s">
        <v>11</v>
      </c>
      <c r="E3238" s="5">
        <v>0</v>
      </c>
      <c r="F3238" s="5">
        <v>0</v>
      </c>
      <c r="G3238" s="5">
        <v>0</v>
      </c>
      <c r="H3238" s="4" t="s">
        <v>11</v>
      </c>
      <c r="I3238" s="5">
        <v>0</v>
      </c>
      <c r="J3238" s="4">
        <v>45916.294918981483</v>
      </c>
    </row>
    <row r="3239" spans="1:10" x14ac:dyDescent="0.2">
      <c r="A3239" s="2" t="s">
        <v>10</v>
      </c>
      <c r="B3239" s="3" t="str">
        <f t="shared" si="60"/>
        <v>France - HCP Survey Email - June 2025</v>
      </c>
      <c r="C3239" s="3" t="str">
        <f>HYPERLINK("https://otsuka-europe-crm.veevavault.com/ui/#object/sent_email__v/VBLZ025E82GNPOX", "SE-000274964")</f>
        <v>SE-000274964</v>
      </c>
      <c r="D3239" s="4">
        <v>45923.916562500002</v>
      </c>
      <c r="E3239" s="5">
        <v>1</v>
      </c>
      <c r="F3239" s="5">
        <v>2</v>
      </c>
      <c r="G3239" s="5">
        <v>0</v>
      </c>
      <c r="H3239" s="4" t="s">
        <v>11</v>
      </c>
      <c r="I3239" s="5">
        <v>0</v>
      </c>
      <c r="J3239" s="4">
        <v>45916.294421296298</v>
      </c>
    </row>
    <row r="3240" spans="1:10" x14ac:dyDescent="0.2">
      <c r="A3240" s="2" t="s">
        <v>10</v>
      </c>
      <c r="B3240" s="3" t="str">
        <f t="shared" si="60"/>
        <v>France - HCP Survey Email - June 2025</v>
      </c>
      <c r="C3240" s="3" t="str">
        <f>HYPERLINK("https://otsuka-europe-crm.veevavault.com/ui/#object/sent_email__v/VBLZ025E82GNPOY", "SE-000274965")</f>
        <v>SE-000274965</v>
      </c>
      <c r="D3240" s="4" t="s">
        <v>11</v>
      </c>
      <c r="E3240" s="5">
        <v>0</v>
      </c>
      <c r="F3240" s="5">
        <v>0</v>
      </c>
      <c r="G3240" s="5">
        <v>0</v>
      </c>
      <c r="H3240" s="4" t="s">
        <v>11</v>
      </c>
      <c r="I3240" s="5">
        <v>0</v>
      </c>
      <c r="J3240" s="4">
        <v>45916.294733796298</v>
      </c>
    </row>
    <row r="3241" spans="1:10" x14ac:dyDescent="0.2">
      <c r="A3241" s="2" t="s">
        <v>10</v>
      </c>
      <c r="B3241" s="3" t="str">
        <f t="shared" si="60"/>
        <v>France - HCP Survey Email - June 2025</v>
      </c>
      <c r="C3241" s="3" t="str">
        <f>HYPERLINK("https://otsuka-europe-crm.veevavault.com/ui/#object/sent_email__v/VBLZ025E82GNPOZ", "SE-000274966")</f>
        <v>SE-000274966</v>
      </c>
      <c r="D3241" s="4" t="s">
        <v>11</v>
      </c>
      <c r="E3241" s="5">
        <v>0</v>
      </c>
      <c r="F3241" s="5">
        <v>0</v>
      </c>
      <c r="G3241" s="5">
        <v>0</v>
      </c>
      <c r="H3241" s="4" t="s">
        <v>11</v>
      </c>
      <c r="I3241" s="5">
        <v>0</v>
      </c>
      <c r="J3241" s="4">
        <v>45916.294918981483</v>
      </c>
    </row>
    <row r="3242" spans="1:10" x14ac:dyDescent="0.2">
      <c r="A3242" s="2" t="s">
        <v>10</v>
      </c>
      <c r="B3242" s="3" t="str">
        <f t="shared" si="60"/>
        <v>France - HCP Survey Email - June 2025</v>
      </c>
      <c r="C3242" s="3" t="str">
        <f>HYPERLINK("https://otsuka-europe-crm.veevavault.com/ui/#object/sent_email__v/VBLZ025E82GNPP0", "SE-000274967")</f>
        <v>SE-000274967</v>
      </c>
      <c r="D3242" s="4" t="s">
        <v>11</v>
      </c>
      <c r="E3242" s="5">
        <v>0</v>
      </c>
      <c r="F3242" s="5">
        <v>0</v>
      </c>
      <c r="G3242" s="5">
        <v>0</v>
      </c>
      <c r="H3242" s="4" t="s">
        <v>11</v>
      </c>
      <c r="I3242" s="5">
        <v>0</v>
      </c>
      <c r="J3242" s="4">
        <v>45916.294398148151</v>
      </c>
    </row>
    <row r="3243" spans="1:10" x14ac:dyDescent="0.2">
      <c r="A3243" s="2" t="s">
        <v>10</v>
      </c>
      <c r="B3243" s="3" t="str">
        <f t="shared" si="60"/>
        <v>France - HCP Survey Email - June 2025</v>
      </c>
      <c r="C3243" s="3" t="str">
        <f>HYPERLINK("https://otsuka-europe-crm.veevavault.com/ui/#object/sent_email__v/VBLZ025E82GNPP1", "SE-000274968")</f>
        <v>SE-000274968</v>
      </c>
      <c r="D3243" s="4" t="s">
        <v>11</v>
      </c>
      <c r="E3243" s="5">
        <v>0</v>
      </c>
      <c r="F3243" s="5">
        <v>0</v>
      </c>
      <c r="G3243" s="5">
        <v>0</v>
      </c>
      <c r="H3243" s="4" t="s">
        <v>11</v>
      </c>
      <c r="I3243" s="5">
        <v>0</v>
      </c>
      <c r="J3243" s="4">
        <v>45916.294606481482</v>
      </c>
    </row>
    <row r="3244" spans="1:10" x14ac:dyDescent="0.2">
      <c r="A3244" s="2" t="s">
        <v>10</v>
      </c>
      <c r="B3244" s="3" t="str">
        <f t="shared" si="60"/>
        <v>France - HCP Survey Email - June 2025</v>
      </c>
      <c r="C3244" s="3" t="str">
        <f>HYPERLINK("https://otsuka-europe-crm.veevavault.com/ui/#object/sent_email__v/VBLZ025E82GNPP2", "SE-000274969")</f>
        <v>SE-000274969</v>
      </c>
      <c r="D3244" s="4" t="s">
        <v>11</v>
      </c>
      <c r="E3244" s="5">
        <v>0</v>
      </c>
      <c r="F3244" s="5">
        <v>0</v>
      </c>
      <c r="G3244" s="5">
        <v>0</v>
      </c>
      <c r="H3244" s="4" t="s">
        <v>11</v>
      </c>
      <c r="I3244" s="5">
        <v>0</v>
      </c>
      <c r="J3244" s="4">
        <v>45916.29478009259</v>
      </c>
    </row>
    <row r="3245" spans="1:10" x14ac:dyDescent="0.2">
      <c r="A3245" s="2" t="s">
        <v>10</v>
      </c>
      <c r="B3245" s="3" t="str">
        <f t="shared" si="60"/>
        <v>France - HCP Survey Email - June 2025</v>
      </c>
      <c r="C3245" s="3" t="str">
        <f>HYPERLINK("https://otsuka-europe-crm.veevavault.com/ui/#object/sent_email__v/VBLZ025E82GNPP3", "SE-000274970")</f>
        <v>SE-000274970</v>
      </c>
      <c r="D3245" s="4" t="s">
        <v>11</v>
      </c>
      <c r="E3245" s="5">
        <v>0</v>
      </c>
      <c r="F3245" s="5">
        <v>0</v>
      </c>
      <c r="G3245" s="5">
        <v>0</v>
      </c>
      <c r="H3245" s="4" t="s">
        <v>11</v>
      </c>
      <c r="I3245" s="5">
        <v>0</v>
      </c>
      <c r="J3245" s="4">
        <v>45916.294282407405</v>
      </c>
    </row>
    <row r="3246" spans="1:10" x14ac:dyDescent="0.2">
      <c r="A3246" s="2" t="s">
        <v>10</v>
      </c>
      <c r="B3246" s="3" t="str">
        <f t="shared" si="60"/>
        <v>France - HCP Survey Email - June 2025</v>
      </c>
      <c r="C3246" s="3" t="str">
        <f>HYPERLINK("https://otsuka-europe-crm.veevavault.com/ui/#object/sent_email__v/VBLZ025E82GNPP4", "SE-000274971")</f>
        <v>SE-000274971</v>
      </c>
      <c r="D3246" s="4" t="s">
        <v>11</v>
      </c>
      <c r="E3246" s="5">
        <v>0</v>
      </c>
      <c r="F3246" s="5">
        <v>0</v>
      </c>
      <c r="G3246" s="5">
        <v>0</v>
      </c>
      <c r="H3246" s="4" t="s">
        <v>11</v>
      </c>
      <c r="I3246" s="5">
        <v>0</v>
      </c>
      <c r="J3246" s="4">
        <v>45916.294409722221</v>
      </c>
    </row>
    <row r="3247" spans="1:10" x14ac:dyDescent="0.2">
      <c r="A3247" s="2" t="s">
        <v>10</v>
      </c>
      <c r="B3247" s="3" t="str">
        <f t="shared" si="60"/>
        <v>France - HCP Survey Email - June 2025</v>
      </c>
      <c r="C3247" s="3" t="str">
        <f>HYPERLINK("https://otsuka-europe-crm.veevavault.com/ui/#object/sent_email__v/VBLZ025E82GNPP5", "SE-000274972")</f>
        <v>SE-000274972</v>
      </c>
      <c r="D3247" s="4" t="s">
        <v>11</v>
      </c>
      <c r="E3247" s="5">
        <v>0</v>
      </c>
      <c r="F3247" s="5">
        <v>0</v>
      </c>
      <c r="G3247" s="5">
        <v>0</v>
      </c>
      <c r="H3247" s="4" t="s">
        <v>11</v>
      </c>
      <c r="I3247" s="5">
        <v>0</v>
      </c>
      <c r="J3247" s="4">
        <v>45916.294675925928</v>
      </c>
    </row>
    <row r="3248" spans="1:10" x14ac:dyDescent="0.2">
      <c r="A3248" s="2" t="s">
        <v>10</v>
      </c>
      <c r="B3248" s="3" t="str">
        <f t="shared" si="60"/>
        <v>France - HCP Survey Email - June 2025</v>
      </c>
      <c r="C3248" s="3" t="str">
        <f>HYPERLINK("https://otsuka-europe-crm.veevavault.com/ui/#object/sent_email__v/VBLZ025E82GNPP6", "SE-000274973")</f>
        <v>SE-000274973</v>
      </c>
      <c r="D3248" s="4" t="s">
        <v>11</v>
      </c>
      <c r="E3248" s="5">
        <v>0</v>
      </c>
      <c r="F3248" s="5">
        <v>0</v>
      </c>
      <c r="G3248" s="5">
        <v>0</v>
      </c>
      <c r="H3248" s="4" t="s">
        <v>11</v>
      </c>
      <c r="I3248" s="5">
        <v>0</v>
      </c>
      <c r="J3248" s="4">
        <v>45916.294895833336</v>
      </c>
    </row>
    <row r="3249" spans="1:10" x14ac:dyDescent="0.2">
      <c r="A3249" s="2" t="s">
        <v>10</v>
      </c>
      <c r="B3249" s="3" t="str">
        <f t="shared" si="60"/>
        <v>France - HCP Survey Email - June 2025</v>
      </c>
      <c r="C3249" s="3" t="str">
        <f>HYPERLINK("https://otsuka-europe-crm.veevavault.com/ui/#object/sent_email__v/VBLZ025E82GNPP7", "SE-000274974")</f>
        <v>SE-000274974</v>
      </c>
      <c r="D3249" s="4" t="s">
        <v>11</v>
      </c>
      <c r="E3249" s="5">
        <v>0</v>
      </c>
      <c r="F3249" s="5">
        <v>0</v>
      </c>
      <c r="G3249" s="5">
        <v>0</v>
      </c>
      <c r="H3249" s="4" t="s">
        <v>11</v>
      </c>
      <c r="I3249" s="5">
        <v>0</v>
      </c>
      <c r="J3249" s="4">
        <v>45916.294317129628</v>
      </c>
    </row>
    <row r="3250" spans="1:10" x14ac:dyDescent="0.2">
      <c r="A3250" s="2" t="s">
        <v>10</v>
      </c>
      <c r="B3250" s="3" t="str">
        <f t="shared" si="60"/>
        <v>France - HCP Survey Email - June 2025</v>
      </c>
      <c r="C3250" s="3" t="str">
        <f>HYPERLINK("https://otsuka-europe-crm.veevavault.com/ui/#object/sent_email__v/VBLZ025E82GNPP8", "SE-000274975")</f>
        <v>SE-000274975</v>
      </c>
      <c r="D3250" s="4">
        <v>45916.899953703702</v>
      </c>
      <c r="E3250" s="5">
        <v>1</v>
      </c>
      <c r="F3250" s="5">
        <v>1</v>
      </c>
      <c r="G3250" s="5">
        <v>0</v>
      </c>
      <c r="H3250" s="4" t="s">
        <v>11</v>
      </c>
      <c r="I3250" s="5">
        <v>0</v>
      </c>
      <c r="J3250" s="4">
        <v>45916.294479166667</v>
      </c>
    </row>
    <row r="3251" spans="1:10" x14ac:dyDescent="0.2">
      <c r="A3251" s="2" t="s">
        <v>10</v>
      </c>
      <c r="B3251" s="3" t="str">
        <f t="shared" si="60"/>
        <v>France - HCP Survey Email - June 2025</v>
      </c>
      <c r="C3251" s="3" t="str">
        <f>HYPERLINK("https://otsuka-europe-crm.veevavault.com/ui/#object/sent_email__v/VBLZ025E82GNPP9", "SE-000274976")</f>
        <v>SE-000274976</v>
      </c>
      <c r="D3251" s="4" t="s">
        <v>11</v>
      </c>
      <c r="E3251" s="5">
        <v>0</v>
      </c>
      <c r="F3251" s="5">
        <v>0</v>
      </c>
      <c r="G3251" s="5">
        <v>0</v>
      </c>
      <c r="H3251" s="4" t="s">
        <v>11</v>
      </c>
      <c r="I3251" s="5">
        <v>0</v>
      </c>
      <c r="J3251" s="4">
        <v>45916.294768518521</v>
      </c>
    </row>
    <row r="3252" spans="1:10" x14ac:dyDescent="0.2">
      <c r="A3252" s="2" t="s">
        <v>10</v>
      </c>
      <c r="B3252" s="3" t="str">
        <f t="shared" si="60"/>
        <v>France - HCP Survey Email - June 2025</v>
      </c>
      <c r="C3252" s="3" t="str">
        <f>HYPERLINK("https://otsuka-europe-crm.veevavault.com/ui/#object/sent_email__v/VBLZ025E82GNPPC", "SE-000274979")</f>
        <v>SE-000274979</v>
      </c>
      <c r="D3252" s="4" t="s">
        <v>11</v>
      </c>
      <c r="E3252" s="5">
        <v>0</v>
      </c>
      <c r="F3252" s="5">
        <v>0</v>
      </c>
      <c r="G3252" s="5">
        <v>0</v>
      </c>
      <c r="H3252" s="4" t="s">
        <v>11</v>
      </c>
      <c r="I3252" s="5">
        <v>0</v>
      </c>
      <c r="J3252" s="4">
        <v>45916.294606481482</v>
      </c>
    </row>
    <row r="3253" spans="1:10" x14ac:dyDescent="0.2">
      <c r="A3253" s="2" t="s">
        <v>10</v>
      </c>
      <c r="B3253" s="3" t="str">
        <f t="shared" si="60"/>
        <v>France - HCP Survey Email - June 2025</v>
      </c>
      <c r="C3253" s="3" t="str">
        <f>HYPERLINK("https://otsuka-europe-crm.veevavault.com/ui/#object/sent_email__v/VBLZ025E82GNPPD", "SE-000274980")</f>
        <v>SE-000274980</v>
      </c>
      <c r="D3253" s="4" t="s">
        <v>11</v>
      </c>
      <c r="E3253" s="5">
        <v>0</v>
      </c>
      <c r="F3253" s="5">
        <v>0</v>
      </c>
      <c r="G3253" s="5">
        <v>0</v>
      </c>
      <c r="H3253" s="4" t="s">
        <v>11</v>
      </c>
      <c r="I3253" s="5">
        <v>0</v>
      </c>
      <c r="J3253" s="4">
        <v>45916.29478009259</v>
      </c>
    </row>
    <row r="3254" spans="1:10" x14ac:dyDescent="0.2">
      <c r="A3254" s="2" t="s">
        <v>10</v>
      </c>
      <c r="B3254" s="3" t="str">
        <f t="shared" si="60"/>
        <v>France - HCP Survey Email - June 2025</v>
      </c>
      <c r="C3254" s="3" t="str">
        <f>HYPERLINK("https://otsuka-europe-crm.veevavault.com/ui/#object/sent_email__v/VBLZ025E82GNPPE", "SE-000274981")</f>
        <v>SE-000274981</v>
      </c>
      <c r="D3254" s="4" t="s">
        <v>11</v>
      </c>
      <c r="E3254" s="5">
        <v>0</v>
      </c>
      <c r="F3254" s="5">
        <v>0</v>
      </c>
      <c r="G3254" s="5">
        <v>0</v>
      </c>
      <c r="H3254" s="4" t="s">
        <v>11</v>
      </c>
      <c r="I3254" s="5">
        <v>0</v>
      </c>
      <c r="J3254" s="4">
        <v>45916.294236111113</v>
      </c>
    </row>
    <row r="3255" spans="1:10" x14ac:dyDescent="0.2">
      <c r="A3255" s="2" t="s">
        <v>10</v>
      </c>
      <c r="B3255" s="3" t="str">
        <f t="shared" si="60"/>
        <v>France - HCP Survey Email - June 2025</v>
      </c>
      <c r="C3255" s="3" t="str">
        <f>HYPERLINK("https://otsuka-europe-crm.veevavault.com/ui/#object/sent_email__v/VBLZ025E82GNPPF", "SE-000274982")</f>
        <v>SE-000274982</v>
      </c>
      <c r="D3255" s="4" t="s">
        <v>11</v>
      </c>
      <c r="E3255" s="5">
        <v>0</v>
      </c>
      <c r="F3255" s="5">
        <v>0</v>
      </c>
      <c r="G3255" s="5">
        <v>0</v>
      </c>
      <c r="H3255" s="4" t="s">
        <v>11</v>
      </c>
      <c r="I3255" s="5">
        <v>0</v>
      </c>
      <c r="J3255" s="4">
        <v>45916.294398148151</v>
      </c>
    </row>
    <row r="3256" spans="1:10" x14ac:dyDescent="0.2">
      <c r="A3256" s="2" t="s">
        <v>10</v>
      </c>
      <c r="B3256" s="3" t="str">
        <f t="shared" si="60"/>
        <v>France - HCP Survey Email - June 2025</v>
      </c>
      <c r="C3256" s="3" t="str">
        <f>HYPERLINK("https://otsuka-europe-crm.veevavault.com/ui/#object/sent_email__v/VBLZ025E82GNPPG", "SE-000274983")</f>
        <v>SE-000274983</v>
      </c>
      <c r="D3256" s="4" t="s">
        <v>11</v>
      </c>
      <c r="E3256" s="5">
        <v>0</v>
      </c>
      <c r="F3256" s="5">
        <v>0</v>
      </c>
      <c r="G3256" s="5">
        <v>0</v>
      </c>
      <c r="H3256" s="4" t="s">
        <v>11</v>
      </c>
      <c r="I3256" s="5">
        <v>0</v>
      </c>
      <c r="J3256" s="4">
        <v>45916.294594907406</v>
      </c>
    </row>
    <row r="3257" spans="1:10" x14ac:dyDescent="0.2">
      <c r="A3257" s="2" t="s">
        <v>10</v>
      </c>
      <c r="B3257" s="3" t="str">
        <f t="shared" si="60"/>
        <v>France - HCP Survey Email - June 2025</v>
      </c>
      <c r="C3257" s="3" t="str">
        <f>HYPERLINK("https://otsuka-europe-crm.veevavault.com/ui/#object/sent_email__v/VBLZ025E82GNPPH", "SE-000274984")</f>
        <v>SE-000274984</v>
      </c>
      <c r="D3257" s="4">
        <v>45918.361087962963</v>
      </c>
      <c r="E3257" s="5">
        <v>1</v>
      </c>
      <c r="F3257" s="5">
        <v>1</v>
      </c>
      <c r="G3257" s="5">
        <v>1</v>
      </c>
      <c r="H3257" s="4">
        <v>45918.361944444441</v>
      </c>
      <c r="I3257" s="5">
        <v>1</v>
      </c>
      <c r="J3257" s="4">
        <v>45916.29488425926</v>
      </c>
    </row>
    <row r="3258" spans="1:10" x14ac:dyDescent="0.2">
      <c r="A3258" s="2" t="s">
        <v>10</v>
      </c>
      <c r="B3258" s="3" t="str">
        <f t="shared" si="60"/>
        <v>France - HCP Survey Email - June 2025</v>
      </c>
      <c r="C3258" s="3" t="str">
        <f>HYPERLINK("https://otsuka-europe-crm.veevavault.com/ui/#object/sent_email__v/VBLZ025E82GNPPI", "SE-000274985")</f>
        <v>SE-000274985</v>
      </c>
      <c r="D3258" s="4" t="s">
        <v>11</v>
      </c>
      <c r="E3258" s="5">
        <v>0</v>
      </c>
      <c r="F3258" s="5">
        <v>0</v>
      </c>
      <c r="G3258" s="5">
        <v>0</v>
      </c>
      <c r="H3258" s="4" t="s">
        <v>11</v>
      </c>
      <c r="I3258" s="5">
        <v>0</v>
      </c>
      <c r="J3258" s="4">
        <v>45916.294270833336</v>
      </c>
    </row>
    <row r="3259" spans="1:10" x14ac:dyDescent="0.2">
      <c r="A3259" s="2" t="s">
        <v>10</v>
      </c>
      <c r="B3259" s="3" t="str">
        <f t="shared" si="60"/>
        <v>France - HCP Survey Email - June 2025</v>
      </c>
      <c r="C3259" s="3" t="str">
        <f>HYPERLINK("https://otsuka-europe-crm.veevavault.com/ui/#object/sent_email__v/VBLZ025E82GNPPJ", "SE-000274986")</f>
        <v>SE-000274986</v>
      </c>
      <c r="D3259" s="4" t="s">
        <v>11</v>
      </c>
      <c r="E3259" s="5">
        <v>0</v>
      </c>
      <c r="F3259" s="5">
        <v>0</v>
      </c>
      <c r="G3259" s="5">
        <v>0</v>
      </c>
      <c r="H3259" s="4" t="s">
        <v>11</v>
      </c>
      <c r="I3259" s="5">
        <v>0</v>
      </c>
      <c r="J3259" s="4">
        <v>45916.29446759259</v>
      </c>
    </row>
    <row r="3260" spans="1:10" x14ac:dyDescent="0.2">
      <c r="A3260" s="2" t="s">
        <v>10</v>
      </c>
      <c r="B3260" s="3" t="str">
        <f t="shared" si="60"/>
        <v>France - HCP Survey Email - June 2025</v>
      </c>
      <c r="C3260" s="3" t="str">
        <f>HYPERLINK("https://otsuka-europe-crm.veevavault.com/ui/#object/sent_email__v/VBLZ025E82GNPPK", "SE-000274987")</f>
        <v>SE-000274987</v>
      </c>
      <c r="D3260" s="4">
        <v>45916.365451388891</v>
      </c>
      <c r="E3260" s="5">
        <v>1</v>
      </c>
      <c r="F3260" s="5">
        <v>1</v>
      </c>
      <c r="G3260" s="5">
        <v>1</v>
      </c>
      <c r="H3260" s="4">
        <v>45916.365451388891</v>
      </c>
      <c r="I3260" s="5">
        <v>1</v>
      </c>
      <c r="J3260" s="4">
        <v>45916.294675925928</v>
      </c>
    </row>
    <row r="3261" spans="1:10" x14ac:dyDescent="0.2">
      <c r="A3261" s="2" t="s">
        <v>10</v>
      </c>
      <c r="B3261" s="3" t="str">
        <f t="shared" si="60"/>
        <v>France - HCP Survey Email - June 2025</v>
      </c>
      <c r="C3261" s="3" t="str">
        <f>HYPERLINK("https://otsuka-europe-crm.veevavault.com/ui/#object/sent_email__v/VBLZ025E82GNPPL", "SE-000274988")</f>
        <v>SE-000274988</v>
      </c>
      <c r="D3261" s="4" t="s">
        <v>11</v>
      </c>
      <c r="E3261" s="5">
        <v>0</v>
      </c>
      <c r="F3261" s="5">
        <v>0</v>
      </c>
      <c r="G3261" s="5">
        <v>0</v>
      </c>
      <c r="H3261" s="4" t="s">
        <v>11</v>
      </c>
      <c r="I3261" s="5">
        <v>0</v>
      </c>
      <c r="J3261" s="4">
        <v>45916.295034722221</v>
      </c>
    </row>
    <row r="3262" spans="1:10" x14ac:dyDescent="0.2">
      <c r="A3262" s="2" t="s">
        <v>10</v>
      </c>
      <c r="B3262" s="3" t="str">
        <f t="shared" si="60"/>
        <v>France - HCP Survey Email - June 2025</v>
      </c>
      <c r="C3262" s="3" t="str">
        <f>HYPERLINK("https://otsuka-europe-crm.veevavault.com/ui/#object/sent_email__v/VBLZ025E82GNPPM", "SE-000274989")</f>
        <v>SE-000274989</v>
      </c>
      <c r="D3262" s="4" t="s">
        <v>11</v>
      </c>
      <c r="E3262" s="5">
        <v>0</v>
      </c>
      <c r="F3262" s="5">
        <v>0</v>
      </c>
      <c r="G3262" s="5">
        <v>0</v>
      </c>
      <c r="H3262" s="4" t="s">
        <v>11</v>
      </c>
      <c r="I3262" s="5">
        <v>0</v>
      </c>
      <c r="J3262" s="4">
        <v>45916.294236111113</v>
      </c>
    </row>
    <row r="3263" spans="1:10" x14ac:dyDescent="0.2">
      <c r="A3263" s="2" t="s">
        <v>10</v>
      </c>
      <c r="B3263" s="3" t="str">
        <f t="shared" si="60"/>
        <v>France - HCP Survey Email - June 2025</v>
      </c>
      <c r="C3263" s="3" t="str">
        <f>HYPERLINK("https://otsuka-europe-crm.veevavault.com/ui/#object/sent_email__v/VBLZ025E82GNPPN", "SE-000274990")</f>
        <v>SE-000274990</v>
      </c>
      <c r="D3263" s="4" t="s">
        <v>11</v>
      </c>
      <c r="E3263" s="5">
        <v>0</v>
      </c>
      <c r="F3263" s="5">
        <v>0</v>
      </c>
      <c r="G3263" s="5">
        <v>0</v>
      </c>
      <c r="H3263" s="4" t="s">
        <v>11</v>
      </c>
      <c r="I3263" s="5">
        <v>0</v>
      </c>
      <c r="J3263" s="4">
        <v>45916.294490740744</v>
      </c>
    </row>
    <row r="3264" spans="1:10" x14ac:dyDescent="0.2">
      <c r="A3264" s="2" t="s">
        <v>10</v>
      </c>
      <c r="B3264" s="3" t="str">
        <f t="shared" si="60"/>
        <v>France - HCP Survey Email - June 2025</v>
      </c>
      <c r="C3264" s="3" t="str">
        <f>HYPERLINK("https://otsuka-europe-crm.veevavault.com/ui/#object/sent_email__v/VBLZ025E82GNPPO", "SE-000274991")</f>
        <v>SE-000274991</v>
      </c>
      <c r="D3264" s="4" t="s">
        <v>11</v>
      </c>
      <c r="E3264" s="5">
        <v>0</v>
      </c>
      <c r="F3264" s="5">
        <v>0</v>
      </c>
      <c r="G3264" s="5">
        <v>0</v>
      </c>
      <c r="H3264" s="4" t="s">
        <v>11</v>
      </c>
      <c r="I3264" s="5">
        <v>0</v>
      </c>
      <c r="J3264" s="4">
        <v>45916.294722222221</v>
      </c>
    </row>
    <row r="3265" spans="1:10" x14ac:dyDescent="0.2">
      <c r="A3265" s="2" t="s">
        <v>10</v>
      </c>
      <c r="B3265" s="3" t="str">
        <f t="shared" ref="B3265:B3328" si="61">HYPERLINK("https://otsuka-europe-crm.veevavault.com/ui/#object/approved_document__v/V5OZ025E82TMV97", "France - HCP Survey Email - June 2025")</f>
        <v>France - HCP Survey Email - June 2025</v>
      </c>
      <c r="C3265" s="3" t="str">
        <f>HYPERLINK("https://otsuka-europe-crm.veevavault.com/ui/#object/sent_email__v/VBLZ025E82GNPPP", "SE-000274992")</f>
        <v>SE-000274992</v>
      </c>
      <c r="D3265" s="4" t="s">
        <v>11</v>
      </c>
      <c r="E3265" s="5">
        <v>0</v>
      </c>
      <c r="F3265" s="5">
        <v>0</v>
      </c>
      <c r="G3265" s="5">
        <v>0</v>
      </c>
      <c r="H3265" s="4" t="s">
        <v>11</v>
      </c>
      <c r="I3265" s="5">
        <v>0</v>
      </c>
      <c r="J3265" s="4">
        <v>45915.423206018517</v>
      </c>
    </row>
    <row r="3266" spans="1:10" x14ac:dyDescent="0.2">
      <c r="A3266" s="2" t="s">
        <v>10</v>
      </c>
      <c r="B3266" s="3" t="str">
        <f t="shared" si="61"/>
        <v>France - HCP Survey Email - June 2025</v>
      </c>
      <c r="C3266" s="3" t="str">
        <f>HYPERLINK("https://otsuka-europe-crm.veevavault.com/ui/#object/sent_email__v/VBLZ025E82GNPPQ", "SE-000274993")</f>
        <v>SE-000274993</v>
      </c>
      <c r="D3266" s="4" t="s">
        <v>11</v>
      </c>
      <c r="E3266" s="5">
        <v>0</v>
      </c>
      <c r="F3266" s="5">
        <v>0</v>
      </c>
      <c r="G3266" s="5">
        <v>0</v>
      </c>
      <c r="H3266" s="4" t="s">
        <v>11</v>
      </c>
      <c r="I3266" s="5">
        <v>0</v>
      </c>
      <c r="J3266" s="4">
        <v>45916.294386574074</v>
      </c>
    </row>
    <row r="3267" spans="1:10" x14ac:dyDescent="0.2">
      <c r="A3267" s="2" t="s">
        <v>10</v>
      </c>
      <c r="B3267" s="3" t="str">
        <f t="shared" si="61"/>
        <v>France - HCP Survey Email - June 2025</v>
      </c>
      <c r="C3267" s="3" t="str">
        <f>HYPERLINK("https://otsuka-europe-crm.veevavault.com/ui/#object/sent_email__v/VBLZ025E82GNPPR", "SE-000274994")</f>
        <v>SE-000274994</v>
      </c>
      <c r="D3267" s="4" t="s">
        <v>11</v>
      </c>
      <c r="E3267" s="5">
        <v>0</v>
      </c>
      <c r="F3267" s="5">
        <v>0</v>
      </c>
      <c r="G3267" s="5">
        <v>0</v>
      </c>
      <c r="H3267" s="4" t="s">
        <v>11</v>
      </c>
      <c r="I3267" s="5">
        <v>0</v>
      </c>
      <c r="J3267" s="4">
        <v>45916.294652777775</v>
      </c>
    </row>
    <row r="3268" spans="1:10" x14ac:dyDescent="0.2">
      <c r="A3268" s="2" t="s">
        <v>10</v>
      </c>
      <c r="B3268" s="3" t="str">
        <f t="shared" si="61"/>
        <v>France - HCP Survey Email - June 2025</v>
      </c>
      <c r="C3268" s="3" t="str">
        <f>HYPERLINK("https://otsuka-europe-crm.veevavault.com/ui/#object/sent_email__v/VBLZ025E82GNPPS", "SE-000274995")</f>
        <v>SE-000274995</v>
      </c>
      <c r="D3268" s="4" t="s">
        <v>11</v>
      </c>
      <c r="E3268" s="5">
        <v>0</v>
      </c>
      <c r="F3268" s="5">
        <v>0</v>
      </c>
      <c r="G3268" s="5">
        <v>0</v>
      </c>
      <c r="H3268" s="4" t="s">
        <v>11</v>
      </c>
      <c r="I3268" s="5">
        <v>0</v>
      </c>
      <c r="J3268" s="4">
        <v>45916.29482638889</v>
      </c>
    </row>
    <row r="3269" spans="1:10" x14ac:dyDescent="0.2">
      <c r="A3269" s="2" t="s">
        <v>10</v>
      </c>
      <c r="B3269" s="3" t="str">
        <f t="shared" si="61"/>
        <v>France - HCP Survey Email - June 2025</v>
      </c>
      <c r="C3269" s="3" t="str">
        <f>HYPERLINK("https://otsuka-europe-crm.veevavault.com/ui/#object/sent_email__v/VBLZ025E82GNPPT", "SE-000274996")</f>
        <v>SE-000274996</v>
      </c>
      <c r="D3269" s="4" t="s">
        <v>11</v>
      </c>
      <c r="E3269" s="5">
        <v>0</v>
      </c>
      <c r="F3269" s="5">
        <v>0</v>
      </c>
      <c r="G3269" s="5">
        <v>0</v>
      </c>
      <c r="H3269" s="4" t="s">
        <v>11</v>
      </c>
      <c r="I3269" s="5">
        <v>0</v>
      </c>
      <c r="J3269" s="4">
        <v>45916.294259259259</v>
      </c>
    </row>
    <row r="3270" spans="1:10" x14ac:dyDescent="0.2">
      <c r="A3270" s="2" t="s">
        <v>10</v>
      </c>
      <c r="B3270" s="3" t="str">
        <f t="shared" si="61"/>
        <v>France - HCP Survey Email - June 2025</v>
      </c>
      <c r="C3270" s="3" t="str">
        <f>HYPERLINK("https://otsuka-europe-crm.veevavault.com/ui/#object/sent_email__v/VBLZ025E82GNPPU", "SE-000274997")</f>
        <v>SE-000274997</v>
      </c>
      <c r="D3270" s="4">
        <v>45916.516331018516</v>
      </c>
      <c r="E3270" s="5">
        <v>1</v>
      </c>
      <c r="F3270" s="5">
        <v>2</v>
      </c>
      <c r="G3270" s="5">
        <v>0</v>
      </c>
      <c r="H3270" s="4" t="s">
        <v>11</v>
      </c>
      <c r="I3270" s="5">
        <v>0</v>
      </c>
      <c r="J3270" s="4">
        <v>45916.294409722221</v>
      </c>
    </row>
    <row r="3271" spans="1:10" x14ac:dyDescent="0.2">
      <c r="A3271" s="2" t="s">
        <v>10</v>
      </c>
      <c r="B3271" s="3" t="str">
        <f t="shared" si="61"/>
        <v>France - HCP Survey Email - June 2025</v>
      </c>
      <c r="C3271" s="3" t="str">
        <f>HYPERLINK("https://otsuka-europe-crm.veevavault.com/ui/#object/sent_email__v/VBLZ025E82GNPPV", "SE-000274998")</f>
        <v>SE-000274998</v>
      </c>
      <c r="D3271" s="4" t="s">
        <v>11</v>
      </c>
      <c r="E3271" s="5">
        <v>0</v>
      </c>
      <c r="F3271" s="5">
        <v>0</v>
      </c>
      <c r="G3271" s="5">
        <v>0</v>
      </c>
      <c r="H3271" s="4" t="s">
        <v>11</v>
      </c>
      <c r="I3271" s="5">
        <v>0</v>
      </c>
      <c r="J3271" s="4">
        <v>45916.294618055559</v>
      </c>
    </row>
    <row r="3272" spans="1:10" x14ac:dyDescent="0.2">
      <c r="A3272" s="2" t="s">
        <v>10</v>
      </c>
      <c r="B3272" s="3" t="str">
        <f t="shared" si="61"/>
        <v>France - HCP Survey Email - June 2025</v>
      </c>
      <c r="C3272" s="3" t="str">
        <f>HYPERLINK("https://otsuka-europe-crm.veevavault.com/ui/#object/sent_email__v/VBLZ025E82GNPPW", "SE-000274999")</f>
        <v>SE-000274999</v>
      </c>
      <c r="D3272" s="4" t="s">
        <v>11</v>
      </c>
      <c r="E3272" s="5">
        <v>0</v>
      </c>
      <c r="F3272" s="5">
        <v>0</v>
      </c>
      <c r="G3272" s="5">
        <v>0</v>
      </c>
      <c r="H3272" s="4" t="s">
        <v>11</v>
      </c>
      <c r="I3272" s="5">
        <v>0</v>
      </c>
      <c r="J3272" s="4">
        <v>45916.294953703706</v>
      </c>
    </row>
    <row r="3273" spans="1:10" x14ac:dyDescent="0.2">
      <c r="A3273" s="2" t="s">
        <v>10</v>
      </c>
      <c r="B3273" s="3" t="str">
        <f t="shared" si="61"/>
        <v>France - HCP Survey Email - June 2025</v>
      </c>
      <c r="C3273" s="3" t="str">
        <f>HYPERLINK("https://otsuka-europe-crm.veevavault.com/ui/#object/sent_email__v/VBLZ025E82GNPPX", "SE-000275000")</f>
        <v>SE-000275000</v>
      </c>
      <c r="D3273" s="4" t="s">
        <v>11</v>
      </c>
      <c r="E3273" s="5">
        <v>0</v>
      </c>
      <c r="F3273" s="5">
        <v>0</v>
      </c>
      <c r="G3273" s="5">
        <v>0</v>
      </c>
      <c r="H3273" s="4" t="s">
        <v>11</v>
      </c>
      <c r="I3273" s="5">
        <v>0</v>
      </c>
      <c r="J3273" s="4">
        <v>45916.294247685182</v>
      </c>
    </row>
    <row r="3274" spans="1:10" x14ac:dyDescent="0.2">
      <c r="A3274" s="2" t="s">
        <v>10</v>
      </c>
      <c r="B3274" s="3" t="str">
        <f t="shared" si="61"/>
        <v>France - HCP Survey Email - June 2025</v>
      </c>
      <c r="C3274" s="3" t="str">
        <f>HYPERLINK("https://otsuka-europe-crm.veevavault.com/ui/#object/sent_email__v/VBLZ025E82GNPPY", "SE-000275001")</f>
        <v>SE-000275001</v>
      </c>
      <c r="D3274" s="4" t="s">
        <v>11</v>
      </c>
      <c r="E3274" s="5">
        <v>0</v>
      </c>
      <c r="F3274" s="5">
        <v>0</v>
      </c>
      <c r="G3274" s="5">
        <v>0</v>
      </c>
      <c r="H3274" s="4" t="s">
        <v>11</v>
      </c>
      <c r="I3274" s="5">
        <v>0</v>
      </c>
      <c r="J3274" s="4">
        <v>45916.294525462959</v>
      </c>
    </row>
    <row r="3275" spans="1:10" x14ac:dyDescent="0.2">
      <c r="A3275" s="2" t="s">
        <v>10</v>
      </c>
      <c r="B3275" s="3" t="str">
        <f t="shared" si="61"/>
        <v>France - HCP Survey Email - June 2025</v>
      </c>
      <c r="C3275" s="3" t="str">
        <f>HYPERLINK("https://otsuka-europe-crm.veevavault.com/ui/#object/sent_email__v/VBLZ025E82GNPPZ", "SE-000275002")</f>
        <v>SE-000275002</v>
      </c>
      <c r="D3275" s="4">
        <v>45916.376493055555</v>
      </c>
      <c r="E3275" s="5">
        <v>1</v>
      </c>
      <c r="F3275" s="5">
        <v>2</v>
      </c>
      <c r="G3275" s="5">
        <v>0</v>
      </c>
      <c r="H3275" s="4" t="s">
        <v>11</v>
      </c>
      <c r="I3275" s="5">
        <v>0</v>
      </c>
      <c r="J3275" s="4">
        <v>45916.294733796298</v>
      </c>
    </row>
    <row r="3276" spans="1:10" x14ac:dyDescent="0.2">
      <c r="A3276" s="2" t="s">
        <v>10</v>
      </c>
      <c r="B3276" s="3" t="str">
        <f t="shared" si="61"/>
        <v>France - HCP Survey Email - June 2025</v>
      </c>
      <c r="C3276" s="3" t="str">
        <f>HYPERLINK("https://otsuka-europe-crm.veevavault.com/ui/#object/sent_email__v/VBLZ025E82GNPQ0", "SE-000275003")</f>
        <v>SE-000275003</v>
      </c>
      <c r="D3276" s="4" t="s">
        <v>11</v>
      </c>
      <c r="E3276" s="5">
        <v>0</v>
      </c>
      <c r="F3276" s="5">
        <v>0</v>
      </c>
      <c r="G3276" s="5">
        <v>0</v>
      </c>
      <c r="H3276" s="4" t="s">
        <v>11</v>
      </c>
      <c r="I3276" s="5">
        <v>0</v>
      </c>
      <c r="J3276" s="4">
        <v>45916.294988425929</v>
      </c>
    </row>
    <row r="3277" spans="1:10" x14ac:dyDescent="0.2">
      <c r="A3277" s="2" t="s">
        <v>10</v>
      </c>
      <c r="B3277" s="3" t="str">
        <f t="shared" si="61"/>
        <v>France - HCP Survey Email - June 2025</v>
      </c>
      <c r="C3277" s="3" t="str">
        <f>HYPERLINK("https://otsuka-europe-crm.veevavault.com/ui/#object/sent_email__v/VBLZ025E82GNPQ1", "SE-000275004")</f>
        <v>SE-000275004</v>
      </c>
      <c r="D3277" s="4" t="s">
        <v>11</v>
      </c>
      <c r="E3277" s="5">
        <v>0</v>
      </c>
      <c r="F3277" s="5">
        <v>0</v>
      </c>
      <c r="G3277" s="5">
        <v>0</v>
      </c>
      <c r="H3277" s="4" t="s">
        <v>11</v>
      </c>
      <c r="I3277" s="5">
        <v>0</v>
      </c>
      <c r="J3277" s="4">
        <v>45916.294432870367</v>
      </c>
    </row>
    <row r="3278" spans="1:10" x14ac:dyDescent="0.2">
      <c r="A3278" s="2" t="s">
        <v>10</v>
      </c>
      <c r="B3278" s="3" t="str">
        <f t="shared" si="61"/>
        <v>France - HCP Survey Email - June 2025</v>
      </c>
      <c r="C3278" s="3" t="str">
        <f>HYPERLINK("https://otsuka-europe-crm.veevavault.com/ui/#object/sent_email__v/VBLZ025E82GNPQ2", "SE-000275005")</f>
        <v>SE-000275005</v>
      </c>
      <c r="D3278" s="4" t="s">
        <v>11</v>
      </c>
      <c r="E3278" s="5">
        <v>0</v>
      </c>
      <c r="F3278" s="5">
        <v>0</v>
      </c>
      <c r="G3278" s="5">
        <v>0</v>
      </c>
      <c r="H3278" s="4" t="s">
        <v>11</v>
      </c>
      <c r="I3278" s="5">
        <v>0</v>
      </c>
      <c r="J3278" s="4">
        <v>45916.294571759259</v>
      </c>
    </row>
    <row r="3279" spans="1:10" x14ac:dyDescent="0.2">
      <c r="A3279" s="2" t="s">
        <v>10</v>
      </c>
      <c r="B3279" s="3" t="str">
        <f t="shared" si="61"/>
        <v>France - HCP Survey Email - June 2025</v>
      </c>
      <c r="C3279" s="3" t="str">
        <f>HYPERLINK("https://otsuka-europe-crm.veevavault.com/ui/#object/sent_email__v/VBLZ025E82GNPQ3", "SE-000275006")</f>
        <v>SE-000275006</v>
      </c>
      <c r="D3279" s="4" t="s">
        <v>11</v>
      </c>
      <c r="E3279" s="5">
        <v>0</v>
      </c>
      <c r="F3279" s="5">
        <v>0</v>
      </c>
      <c r="G3279" s="5">
        <v>0</v>
      </c>
      <c r="H3279" s="4" t="s">
        <v>11</v>
      </c>
      <c r="I3279" s="5">
        <v>0</v>
      </c>
      <c r="J3279" s="4">
        <v>45916.294791666667</v>
      </c>
    </row>
    <row r="3280" spans="1:10" x14ac:dyDescent="0.2">
      <c r="A3280" s="2" t="s">
        <v>10</v>
      </c>
      <c r="B3280" s="3" t="str">
        <f t="shared" si="61"/>
        <v>France - HCP Survey Email - June 2025</v>
      </c>
      <c r="C3280" s="3" t="str">
        <f>HYPERLINK("https://otsuka-europe-crm.veevavault.com/ui/#object/sent_email__v/VBLZ025E82GNPQ4", "SE-000275007")</f>
        <v>SE-000275007</v>
      </c>
      <c r="D3280" s="4">
        <v>45916.294386574074</v>
      </c>
      <c r="E3280" s="5">
        <v>1</v>
      </c>
      <c r="F3280" s="5">
        <v>1</v>
      </c>
      <c r="G3280" s="5">
        <v>1</v>
      </c>
      <c r="H3280" s="4">
        <v>45916.294386574074</v>
      </c>
      <c r="I3280" s="5">
        <v>1</v>
      </c>
      <c r="J3280" s="4">
        <v>45916.294224537036</v>
      </c>
    </row>
    <row r="3281" spans="1:10" x14ac:dyDescent="0.2">
      <c r="A3281" s="2" t="s">
        <v>10</v>
      </c>
      <c r="B3281" s="3" t="str">
        <f t="shared" si="61"/>
        <v>France - HCP Survey Email - June 2025</v>
      </c>
      <c r="C3281" s="3" t="str">
        <f>HYPERLINK("https://otsuka-europe-crm.veevavault.com/ui/#object/sent_email__v/VBLZ025E82GNPQ5", "SE-000275008")</f>
        <v>SE-000275008</v>
      </c>
      <c r="D3281" s="4" t="s">
        <v>11</v>
      </c>
      <c r="E3281" s="5">
        <v>0</v>
      </c>
      <c r="F3281" s="5">
        <v>0</v>
      </c>
      <c r="G3281" s="5">
        <v>0</v>
      </c>
      <c r="H3281" s="4" t="s">
        <v>11</v>
      </c>
      <c r="I3281" s="5">
        <v>0</v>
      </c>
      <c r="J3281" s="4">
        <v>45916.294456018521</v>
      </c>
    </row>
    <row r="3282" spans="1:10" x14ac:dyDescent="0.2">
      <c r="A3282" s="2" t="s">
        <v>10</v>
      </c>
      <c r="B3282" s="3" t="str">
        <f t="shared" si="61"/>
        <v>France - HCP Survey Email - June 2025</v>
      </c>
      <c r="C3282" s="3" t="str">
        <f>HYPERLINK("https://otsuka-europe-crm.veevavault.com/ui/#object/sent_email__v/VBLZ025E82GNPQ7", "SE-000275010")</f>
        <v>SE-000275010</v>
      </c>
      <c r="D3282" s="4" t="s">
        <v>11</v>
      </c>
      <c r="E3282" s="5">
        <v>0</v>
      </c>
      <c r="F3282" s="5">
        <v>0</v>
      </c>
      <c r="G3282" s="5">
        <v>0</v>
      </c>
      <c r="H3282" s="4" t="s">
        <v>11</v>
      </c>
      <c r="I3282" s="5">
        <v>0</v>
      </c>
      <c r="J3282" s="4">
        <v>45916.294918981483</v>
      </c>
    </row>
    <row r="3283" spans="1:10" x14ac:dyDescent="0.2">
      <c r="A3283" s="2" t="s">
        <v>10</v>
      </c>
      <c r="B3283" s="3" t="str">
        <f t="shared" si="61"/>
        <v>France - HCP Survey Email - June 2025</v>
      </c>
      <c r="C3283" s="3" t="str">
        <f>HYPERLINK("https://otsuka-europe-crm.veevavault.com/ui/#object/sent_email__v/VBLZ025E82GNPQ8", "SE-000275011")</f>
        <v>SE-000275011</v>
      </c>
      <c r="D3283" s="4" t="s">
        <v>11</v>
      </c>
      <c r="E3283" s="5">
        <v>0</v>
      </c>
      <c r="F3283" s="5">
        <v>0</v>
      </c>
      <c r="G3283" s="5">
        <v>0</v>
      </c>
      <c r="H3283" s="4" t="s">
        <v>11</v>
      </c>
      <c r="I3283" s="5">
        <v>0</v>
      </c>
      <c r="J3283" s="4">
        <v>45916.294791666667</v>
      </c>
    </row>
    <row r="3284" spans="1:10" x14ac:dyDescent="0.2">
      <c r="A3284" s="2" t="s">
        <v>10</v>
      </c>
      <c r="B3284" s="3" t="str">
        <f t="shared" si="61"/>
        <v>France - HCP Survey Email - June 2025</v>
      </c>
      <c r="C3284" s="3" t="str">
        <f>HYPERLINK("https://otsuka-europe-crm.veevavault.com/ui/#object/sent_email__v/VBLZ025E82GNPQ9", "SE-000275012")</f>
        <v>SE-000275012</v>
      </c>
      <c r="D3284" s="4" t="s">
        <v>11</v>
      </c>
      <c r="E3284" s="5">
        <v>0</v>
      </c>
      <c r="F3284" s="5">
        <v>0</v>
      </c>
      <c r="G3284" s="5">
        <v>0</v>
      </c>
      <c r="H3284" s="4" t="s">
        <v>11</v>
      </c>
      <c r="I3284" s="5">
        <v>0</v>
      </c>
      <c r="J3284" s="4">
        <v>45916.294212962966</v>
      </c>
    </row>
    <row r="3285" spans="1:10" x14ac:dyDescent="0.2">
      <c r="A3285" s="2" t="s">
        <v>10</v>
      </c>
      <c r="B3285" s="3" t="str">
        <f t="shared" si="61"/>
        <v>France - HCP Survey Email - June 2025</v>
      </c>
      <c r="C3285" s="3" t="str">
        <f>HYPERLINK("https://otsuka-europe-crm.veevavault.com/ui/#object/sent_email__v/VBLZ025E82GNPQA", "SE-000275013")</f>
        <v>SE-000275013</v>
      </c>
      <c r="D3285" s="4" t="s">
        <v>11</v>
      </c>
      <c r="E3285" s="5">
        <v>0</v>
      </c>
      <c r="F3285" s="5">
        <v>0</v>
      </c>
      <c r="G3285" s="5">
        <v>0</v>
      </c>
      <c r="H3285" s="4" t="s">
        <v>11</v>
      </c>
      <c r="I3285" s="5">
        <v>0</v>
      </c>
      <c r="J3285" s="4">
        <v>45916.294456018521</v>
      </c>
    </row>
    <row r="3286" spans="1:10" x14ac:dyDescent="0.2">
      <c r="A3286" s="2" t="s">
        <v>10</v>
      </c>
      <c r="B3286" s="3" t="str">
        <f t="shared" si="61"/>
        <v>France - HCP Survey Email - June 2025</v>
      </c>
      <c r="C3286" s="3" t="str">
        <f>HYPERLINK("https://otsuka-europe-crm.veevavault.com/ui/#object/sent_email__v/VBLZ025E82GNPQB", "SE-000275014")</f>
        <v>SE-000275014</v>
      </c>
      <c r="D3286" s="4" t="s">
        <v>11</v>
      </c>
      <c r="E3286" s="5">
        <v>0</v>
      </c>
      <c r="F3286" s="5">
        <v>0</v>
      </c>
      <c r="G3286" s="5">
        <v>0</v>
      </c>
      <c r="H3286" s="4" t="s">
        <v>11</v>
      </c>
      <c r="I3286" s="5">
        <v>0</v>
      </c>
      <c r="J3286" s="4">
        <v>45916.294629629629</v>
      </c>
    </row>
    <row r="3287" spans="1:10" x14ac:dyDescent="0.2">
      <c r="A3287" s="2" t="s">
        <v>10</v>
      </c>
      <c r="B3287" s="3" t="str">
        <f t="shared" si="61"/>
        <v>France - HCP Survey Email - June 2025</v>
      </c>
      <c r="C3287" s="3" t="str">
        <f>HYPERLINK("https://otsuka-europe-crm.veevavault.com/ui/#object/sent_email__v/VBLZ025E82GNPQC", "SE-000275015")</f>
        <v>SE-000275015</v>
      </c>
      <c r="D3287" s="4">
        <v>46014.382175925923</v>
      </c>
      <c r="E3287" s="5">
        <v>1</v>
      </c>
      <c r="F3287" s="5">
        <v>2</v>
      </c>
      <c r="G3287" s="5">
        <v>0</v>
      </c>
      <c r="H3287" s="4" t="s">
        <v>11</v>
      </c>
      <c r="I3287" s="5">
        <v>0</v>
      </c>
      <c r="J3287" s="4">
        <v>45916.294965277775</v>
      </c>
    </row>
    <row r="3288" spans="1:10" x14ac:dyDescent="0.2">
      <c r="A3288" s="2" t="s">
        <v>10</v>
      </c>
      <c r="B3288" s="3" t="str">
        <f t="shared" si="61"/>
        <v>France - HCP Survey Email - June 2025</v>
      </c>
      <c r="C3288" s="3" t="str">
        <f>HYPERLINK("https://otsuka-europe-crm.veevavault.com/ui/#object/sent_email__v/VBLZ025E82GNPQD", "SE-000275016")</f>
        <v>SE-000275016</v>
      </c>
      <c r="D3288" s="4">
        <v>45916.294398148151</v>
      </c>
      <c r="E3288" s="5">
        <v>1</v>
      </c>
      <c r="F3288" s="5">
        <v>1</v>
      </c>
      <c r="G3288" s="5">
        <v>0</v>
      </c>
      <c r="H3288" s="4" t="s">
        <v>11</v>
      </c>
      <c r="I3288" s="5">
        <v>0</v>
      </c>
      <c r="J3288" s="4">
        <v>45916.294317129628</v>
      </c>
    </row>
    <row r="3289" spans="1:10" x14ac:dyDescent="0.2">
      <c r="A3289" s="2" t="s">
        <v>10</v>
      </c>
      <c r="B3289" s="3" t="str">
        <f t="shared" si="61"/>
        <v>France - HCP Survey Email - June 2025</v>
      </c>
      <c r="C3289" s="3" t="str">
        <f>HYPERLINK("https://otsuka-europe-crm.veevavault.com/ui/#object/sent_email__v/VBLZ025E82GNPQE", "SE-000275017")</f>
        <v>SE-000275017</v>
      </c>
      <c r="D3289" s="4" t="s">
        <v>11</v>
      </c>
      <c r="E3289" s="5">
        <v>0</v>
      </c>
      <c r="F3289" s="5">
        <v>0</v>
      </c>
      <c r="G3289" s="5">
        <v>0</v>
      </c>
      <c r="H3289" s="4" t="s">
        <v>11</v>
      </c>
      <c r="I3289" s="5">
        <v>0</v>
      </c>
      <c r="J3289" s="4">
        <v>45916.294571759259</v>
      </c>
    </row>
    <row r="3290" spans="1:10" x14ac:dyDescent="0.2">
      <c r="A3290" s="2" t="s">
        <v>10</v>
      </c>
      <c r="B3290" s="3" t="str">
        <f t="shared" si="61"/>
        <v>France - HCP Survey Email - June 2025</v>
      </c>
      <c r="C3290" s="3" t="str">
        <f>HYPERLINK("https://otsuka-europe-crm.veevavault.com/ui/#object/sent_email__v/VBLZ025E82GNPQF", "SE-000275018")</f>
        <v>SE-000275018</v>
      </c>
      <c r="D3290" s="4" t="s">
        <v>11</v>
      </c>
      <c r="E3290" s="5">
        <v>0</v>
      </c>
      <c r="F3290" s="5">
        <v>0</v>
      </c>
      <c r="G3290" s="5">
        <v>0</v>
      </c>
      <c r="H3290" s="4" t="s">
        <v>11</v>
      </c>
      <c r="I3290" s="5">
        <v>0</v>
      </c>
      <c r="J3290" s="4">
        <v>45916.29483796296</v>
      </c>
    </row>
    <row r="3291" spans="1:10" x14ac:dyDescent="0.2">
      <c r="A3291" s="2" t="s">
        <v>10</v>
      </c>
      <c r="B3291" s="3" t="str">
        <f t="shared" si="61"/>
        <v>France - HCP Survey Email - June 2025</v>
      </c>
      <c r="C3291" s="3" t="str">
        <f>HYPERLINK("https://otsuka-europe-crm.veevavault.com/ui/#object/sent_email__v/VBLZ025E82GNPQG", "SE-000275019")</f>
        <v>SE-000275019</v>
      </c>
      <c r="D3291" s="4" t="s">
        <v>11</v>
      </c>
      <c r="E3291" s="5">
        <v>0</v>
      </c>
      <c r="F3291" s="5">
        <v>0</v>
      </c>
      <c r="G3291" s="5">
        <v>0</v>
      </c>
      <c r="H3291" s="4" t="s">
        <v>11</v>
      </c>
      <c r="I3291" s="5">
        <v>0</v>
      </c>
      <c r="J3291" s="4">
        <v>45916.294953703706</v>
      </c>
    </row>
    <row r="3292" spans="1:10" x14ac:dyDescent="0.2">
      <c r="A3292" s="2" t="s">
        <v>10</v>
      </c>
      <c r="B3292" s="3" t="str">
        <f t="shared" si="61"/>
        <v>France - HCP Survey Email - June 2025</v>
      </c>
      <c r="C3292" s="3" t="str">
        <f>HYPERLINK("https://otsuka-europe-crm.veevavault.com/ui/#object/sent_email__v/VBLZ025E82GNPQH", "SE-000275020")</f>
        <v>SE-000275020</v>
      </c>
      <c r="D3292" s="4" t="s">
        <v>11</v>
      </c>
      <c r="E3292" s="5">
        <v>0</v>
      </c>
      <c r="F3292" s="5">
        <v>0</v>
      </c>
      <c r="G3292" s="5">
        <v>0</v>
      </c>
      <c r="H3292" s="4" t="s">
        <v>11</v>
      </c>
      <c r="I3292" s="5">
        <v>0</v>
      </c>
      <c r="J3292" s="4">
        <v>45916.294374999998</v>
      </c>
    </row>
    <row r="3293" spans="1:10" x14ac:dyDescent="0.2">
      <c r="A3293" s="2" t="s">
        <v>10</v>
      </c>
      <c r="B3293" s="3" t="str">
        <f t="shared" si="61"/>
        <v>France - HCP Survey Email - June 2025</v>
      </c>
      <c r="C3293" s="3" t="str">
        <f>HYPERLINK("https://otsuka-europe-crm.veevavault.com/ui/#object/sent_email__v/VBLZ025E82GNPQI", "SE-000275021")</f>
        <v>SE-000275021</v>
      </c>
      <c r="D3293" s="4" t="s">
        <v>11</v>
      </c>
      <c r="E3293" s="5">
        <v>0</v>
      </c>
      <c r="F3293" s="5">
        <v>0</v>
      </c>
      <c r="G3293" s="5">
        <v>0</v>
      </c>
      <c r="H3293" s="4" t="s">
        <v>11</v>
      </c>
      <c r="I3293" s="5">
        <v>0</v>
      </c>
      <c r="J3293" s="4">
        <v>45916.294664351852</v>
      </c>
    </row>
    <row r="3294" spans="1:10" x14ac:dyDescent="0.2">
      <c r="A3294" s="2" t="s">
        <v>10</v>
      </c>
      <c r="B3294" s="3" t="str">
        <f t="shared" si="61"/>
        <v>France - HCP Survey Email - June 2025</v>
      </c>
      <c r="C3294" s="3" t="str">
        <f>HYPERLINK("https://otsuka-europe-crm.veevavault.com/ui/#object/sent_email__v/VBLZ025E82GNPQJ", "SE-000275022")</f>
        <v>SE-000275022</v>
      </c>
      <c r="D3294" s="4" t="s">
        <v>11</v>
      </c>
      <c r="E3294" s="5">
        <v>0</v>
      </c>
      <c r="F3294" s="5">
        <v>0</v>
      </c>
      <c r="G3294" s="5">
        <v>0</v>
      </c>
      <c r="H3294" s="4" t="s">
        <v>11</v>
      </c>
      <c r="I3294" s="5">
        <v>0</v>
      </c>
      <c r="J3294" s="4">
        <v>45916.294768518521</v>
      </c>
    </row>
    <row r="3295" spans="1:10" x14ac:dyDescent="0.2">
      <c r="A3295" s="2" t="s">
        <v>10</v>
      </c>
      <c r="B3295" s="3" t="str">
        <f t="shared" si="61"/>
        <v>France - HCP Survey Email - June 2025</v>
      </c>
      <c r="C3295" s="3" t="str">
        <f>HYPERLINK("https://otsuka-europe-crm.veevavault.com/ui/#object/sent_email__v/VBLZ025E82GNPQK", "SE-000275023")</f>
        <v>SE-000275023</v>
      </c>
      <c r="D3295" s="4" t="s">
        <v>11</v>
      </c>
      <c r="E3295" s="5">
        <v>0</v>
      </c>
      <c r="F3295" s="5">
        <v>0</v>
      </c>
      <c r="G3295" s="5">
        <v>0</v>
      </c>
      <c r="H3295" s="4" t="s">
        <v>11</v>
      </c>
      <c r="I3295" s="5">
        <v>0</v>
      </c>
      <c r="J3295" s="4">
        <v>45916.294224537036</v>
      </c>
    </row>
    <row r="3296" spans="1:10" x14ac:dyDescent="0.2">
      <c r="A3296" s="2" t="s">
        <v>10</v>
      </c>
      <c r="B3296" s="3" t="str">
        <f t="shared" si="61"/>
        <v>France - HCP Survey Email - June 2025</v>
      </c>
      <c r="C3296" s="3" t="str">
        <f>HYPERLINK("https://otsuka-europe-crm.veevavault.com/ui/#object/sent_email__v/VBLZ025E82GNPQL", "SE-000275024")</f>
        <v>SE-000275024</v>
      </c>
      <c r="D3296" s="4" t="s">
        <v>11</v>
      </c>
      <c r="E3296" s="5">
        <v>0</v>
      </c>
      <c r="F3296" s="5">
        <v>0</v>
      </c>
      <c r="G3296" s="5">
        <v>0</v>
      </c>
      <c r="H3296" s="4" t="s">
        <v>11</v>
      </c>
      <c r="I3296" s="5">
        <v>0</v>
      </c>
      <c r="J3296" s="4">
        <v>45916.294409722221</v>
      </c>
    </row>
    <row r="3297" spans="1:10" x14ac:dyDescent="0.2">
      <c r="A3297" s="2" t="s">
        <v>10</v>
      </c>
      <c r="B3297" s="3" t="str">
        <f t="shared" si="61"/>
        <v>France - HCP Survey Email - June 2025</v>
      </c>
      <c r="C3297" s="3" t="str">
        <f>HYPERLINK("https://otsuka-europe-crm.veevavault.com/ui/#object/sent_email__v/VBLZ025E82GNPQM", "SE-000275025")</f>
        <v>SE-000275025</v>
      </c>
      <c r="D3297" s="4" t="s">
        <v>11</v>
      </c>
      <c r="E3297" s="5">
        <v>0</v>
      </c>
      <c r="F3297" s="5">
        <v>0</v>
      </c>
      <c r="G3297" s="5">
        <v>0</v>
      </c>
      <c r="H3297" s="4" t="s">
        <v>11</v>
      </c>
      <c r="I3297" s="5">
        <v>0</v>
      </c>
      <c r="J3297" s="4">
        <v>45916.294814814813</v>
      </c>
    </row>
    <row r="3298" spans="1:10" x14ac:dyDescent="0.2">
      <c r="A3298" s="2" t="s">
        <v>10</v>
      </c>
      <c r="B3298" s="3" t="str">
        <f t="shared" si="61"/>
        <v>France - HCP Survey Email - June 2025</v>
      </c>
      <c r="C3298" s="3" t="str">
        <f>HYPERLINK("https://otsuka-europe-crm.veevavault.com/ui/#object/sent_email__v/VBLZ025E82GNPQN", "SE-000275026")</f>
        <v>SE-000275026</v>
      </c>
      <c r="D3298" s="4" t="s">
        <v>11</v>
      </c>
      <c r="E3298" s="5">
        <v>0</v>
      </c>
      <c r="F3298" s="5">
        <v>0</v>
      </c>
      <c r="G3298" s="5">
        <v>0</v>
      </c>
      <c r="H3298" s="4" t="s">
        <v>11</v>
      </c>
      <c r="I3298" s="5">
        <v>0</v>
      </c>
      <c r="J3298" s="4">
        <v>45916.294942129629</v>
      </c>
    </row>
    <row r="3299" spans="1:10" x14ac:dyDescent="0.2">
      <c r="A3299" s="2" t="s">
        <v>10</v>
      </c>
      <c r="B3299" s="3" t="str">
        <f t="shared" si="61"/>
        <v>France - HCP Survey Email - June 2025</v>
      </c>
      <c r="C3299" s="3" t="str">
        <f>HYPERLINK("https://otsuka-europe-crm.veevavault.com/ui/#object/sent_email__v/VBLZ025E82GNPQO", "SE-000275027")</f>
        <v>SE-000275027</v>
      </c>
      <c r="D3299" s="4" t="s">
        <v>11</v>
      </c>
      <c r="E3299" s="5">
        <v>0</v>
      </c>
      <c r="F3299" s="5">
        <v>0</v>
      </c>
      <c r="G3299" s="5">
        <v>0</v>
      </c>
      <c r="H3299" s="4" t="s">
        <v>11</v>
      </c>
      <c r="I3299" s="5">
        <v>0</v>
      </c>
      <c r="J3299" s="4">
        <v>45916.294293981482</v>
      </c>
    </row>
    <row r="3300" spans="1:10" x14ac:dyDescent="0.2">
      <c r="A3300" s="2" t="s">
        <v>10</v>
      </c>
      <c r="B3300" s="3" t="str">
        <f t="shared" si="61"/>
        <v>France - HCP Survey Email - June 2025</v>
      </c>
      <c r="C3300" s="3" t="str">
        <f>HYPERLINK("https://otsuka-europe-crm.veevavault.com/ui/#object/sent_email__v/VBLZ025E82GNPQP", "SE-000275028")</f>
        <v>SE-000275028</v>
      </c>
      <c r="D3300" s="4">
        <v>45916.316238425927</v>
      </c>
      <c r="E3300" s="5">
        <v>1</v>
      </c>
      <c r="F3300" s="5">
        <v>1</v>
      </c>
      <c r="G3300" s="5">
        <v>0</v>
      </c>
      <c r="H3300" s="4" t="s">
        <v>11</v>
      </c>
      <c r="I3300" s="5">
        <v>0</v>
      </c>
      <c r="J3300" s="4">
        <v>45916.294479166667</v>
      </c>
    </row>
    <row r="3301" spans="1:10" x14ac:dyDescent="0.2">
      <c r="A3301" s="2" t="s">
        <v>10</v>
      </c>
      <c r="B3301" s="3" t="str">
        <f t="shared" si="61"/>
        <v>France - HCP Survey Email - June 2025</v>
      </c>
      <c r="C3301" s="3" t="str">
        <f>HYPERLINK("https://otsuka-europe-crm.veevavault.com/ui/#object/sent_email__v/VBLZ025E82GNPQQ", "SE-000275029")</f>
        <v>SE-000275029</v>
      </c>
      <c r="D3301" s="4" t="s">
        <v>11</v>
      </c>
      <c r="E3301" s="5">
        <v>0</v>
      </c>
      <c r="F3301" s="5">
        <v>0</v>
      </c>
      <c r="G3301" s="5">
        <v>0</v>
      </c>
      <c r="H3301" s="4" t="s">
        <v>11</v>
      </c>
      <c r="I3301" s="5">
        <v>0</v>
      </c>
      <c r="J3301" s="4">
        <v>45916.294722222221</v>
      </c>
    </row>
    <row r="3302" spans="1:10" x14ac:dyDescent="0.2">
      <c r="A3302" s="2" t="s">
        <v>10</v>
      </c>
      <c r="B3302" s="3" t="str">
        <f t="shared" si="61"/>
        <v>France - HCP Survey Email - June 2025</v>
      </c>
      <c r="C3302" s="3" t="str">
        <f>HYPERLINK("https://otsuka-europe-crm.veevavault.com/ui/#object/sent_email__v/VBLZ025E82GNPQR", "SE-000275030")</f>
        <v>SE-000275030</v>
      </c>
      <c r="D3302" s="4" t="s">
        <v>11</v>
      </c>
      <c r="E3302" s="5">
        <v>0</v>
      </c>
      <c r="F3302" s="5">
        <v>0</v>
      </c>
      <c r="G3302" s="5">
        <v>0</v>
      </c>
      <c r="H3302" s="4" t="s">
        <v>11</v>
      </c>
      <c r="I3302" s="5">
        <v>0</v>
      </c>
      <c r="J3302" s="4">
        <v>45916.29488425926</v>
      </c>
    </row>
    <row r="3303" spans="1:10" x14ac:dyDescent="0.2">
      <c r="A3303" s="2" t="s">
        <v>10</v>
      </c>
      <c r="B3303" s="3" t="str">
        <f t="shared" si="61"/>
        <v>France - HCP Survey Email - June 2025</v>
      </c>
      <c r="C3303" s="3" t="str">
        <f>HYPERLINK("https://otsuka-europe-crm.veevavault.com/ui/#object/sent_email__v/VBLZ025E82GNPQS", "SE-000275031")</f>
        <v>SE-000275031</v>
      </c>
      <c r="D3303" s="4" t="s">
        <v>11</v>
      </c>
      <c r="E3303" s="5">
        <v>0</v>
      </c>
      <c r="F3303" s="5">
        <v>0</v>
      </c>
      <c r="G3303" s="5">
        <v>0</v>
      </c>
      <c r="H3303" s="4" t="s">
        <v>11</v>
      </c>
      <c r="I3303" s="5">
        <v>0</v>
      </c>
      <c r="J3303" s="4">
        <v>45916.294444444444</v>
      </c>
    </row>
    <row r="3304" spans="1:10" x14ac:dyDescent="0.2">
      <c r="A3304" s="2" t="s">
        <v>10</v>
      </c>
      <c r="B3304" s="3" t="str">
        <f t="shared" si="61"/>
        <v>France - HCP Survey Email - June 2025</v>
      </c>
      <c r="C3304" s="3" t="str">
        <f>HYPERLINK("https://otsuka-europe-crm.veevavault.com/ui/#object/sent_email__v/VBLZ025E82GNPQT", "SE-000275032")</f>
        <v>SE-000275032</v>
      </c>
      <c r="D3304" s="4" t="s">
        <v>11</v>
      </c>
      <c r="E3304" s="5">
        <v>0</v>
      </c>
      <c r="F3304" s="5">
        <v>0</v>
      </c>
      <c r="G3304" s="5">
        <v>0</v>
      </c>
      <c r="H3304" s="4" t="s">
        <v>11</v>
      </c>
      <c r="I3304" s="5">
        <v>0</v>
      </c>
      <c r="J3304" s="4">
        <v>45916.294745370367</v>
      </c>
    </row>
    <row r="3305" spans="1:10" x14ac:dyDescent="0.2">
      <c r="A3305" s="2" t="s">
        <v>10</v>
      </c>
      <c r="B3305" s="3" t="str">
        <f t="shared" si="61"/>
        <v>France - HCP Survey Email - June 2025</v>
      </c>
      <c r="C3305" s="3" t="str">
        <f>HYPERLINK("https://otsuka-europe-crm.veevavault.com/ui/#object/sent_email__v/VBLZ025E82GNPQU", "SE-000275033")</f>
        <v>SE-000275033</v>
      </c>
      <c r="D3305" s="4" t="s">
        <v>11</v>
      </c>
      <c r="E3305" s="5">
        <v>0</v>
      </c>
      <c r="F3305" s="5">
        <v>0</v>
      </c>
      <c r="G3305" s="5">
        <v>0</v>
      </c>
      <c r="H3305" s="4" t="s">
        <v>11</v>
      </c>
      <c r="I3305" s="5">
        <v>0</v>
      </c>
      <c r="J3305" s="4">
        <v>45916.294803240744</v>
      </c>
    </row>
    <row r="3306" spans="1:10" x14ac:dyDescent="0.2">
      <c r="A3306" s="2" t="s">
        <v>10</v>
      </c>
      <c r="B3306" s="3" t="str">
        <f t="shared" si="61"/>
        <v>France - HCP Survey Email - June 2025</v>
      </c>
      <c r="C3306" s="3" t="str">
        <f>HYPERLINK("https://otsuka-europe-crm.veevavault.com/ui/#object/sent_email__v/VBLZ025E82GNPQV", "SE-000275034")</f>
        <v>SE-000275034</v>
      </c>
      <c r="D3306" s="4">
        <v>45916.327291666668</v>
      </c>
      <c r="E3306" s="5">
        <v>1</v>
      </c>
      <c r="F3306" s="5">
        <v>1</v>
      </c>
      <c r="G3306" s="5">
        <v>0</v>
      </c>
      <c r="H3306" s="4" t="s">
        <v>11</v>
      </c>
      <c r="I3306" s="5">
        <v>0</v>
      </c>
      <c r="J3306" s="4">
        <v>45916.294282407405</v>
      </c>
    </row>
    <row r="3307" spans="1:10" x14ac:dyDescent="0.2">
      <c r="A3307" s="2" t="s">
        <v>10</v>
      </c>
      <c r="B3307" s="3" t="str">
        <f t="shared" si="61"/>
        <v>France - HCP Survey Email - June 2025</v>
      </c>
      <c r="C3307" s="3" t="str">
        <f>HYPERLINK("https://otsuka-europe-crm.veevavault.com/ui/#object/sent_email__v/VBLZ025E82GNPQW", "SE-000275035")</f>
        <v>SE-000275035</v>
      </c>
      <c r="D3307" s="4" t="s">
        <v>11</v>
      </c>
      <c r="E3307" s="5">
        <v>0</v>
      </c>
      <c r="F3307" s="5">
        <v>0</v>
      </c>
      <c r="G3307" s="5">
        <v>0</v>
      </c>
      <c r="H3307" s="4" t="s">
        <v>11</v>
      </c>
      <c r="I3307" s="5">
        <v>0</v>
      </c>
      <c r="J3307" s="4">
        <v>45916.294421296298</v>
      </c>
    </row>
    <row r="3308" spans="1:10" x14ac:dyDescent="0.2">
      <c r="A3308" s="2" t="s">
        <v>10</v>
      </c>
      <c r="B3308" s="3" t="str">
        <f t="shared" si="61"/>
        <v>France - HCP Survey Email - June 2025</v>
      </c>
      <c r="C3308" s="3" t="str">
        <f>HYPERLINK("https://otsuka-europe-crm.veevavault.com/ui/#object/sent_email__v/VBLZ025E82GNPQX", "SE-000275036")</f>
        <v>SE-000275036</v>
      </c>
      <c r="D3308" s="4" t="s">
        <v>11</v>
      </c>
      <c r="E3308" s="5">
        <v>0</v>
      </c>
      <c r="F3308" s="5">
        <v>0</v>
      </c>
      <c r="G3308" s="5">
        <v>0</v>
      </c>
      <c r="H3308" s="4" t="s">
        <v>11</v>
      </c>
      <c r="I3308" s="5">
        <v>0</v>
      </c>
      <c r="J3308" s="4">
        <v>45916.294745370367</v>
      </c>
    </row>
    <row r="3309" spans="1:10" x14ac:dyDescent="0.2">
      <c r="A3309" s="2" t="s">
        <v>10</v>
      </c>
      <c r="B3309" s="3" t="str">
        <f t="shared" si="61"/>
        <v>France - HCP Survey Email - June 2025</v>
      </c>
      <c r="C3309" s="3" t="str">
        <f>HYPERLINK("https://otsuka-europe-crm.veevavault.com/ui/#object/sent_email__v/VBLZ025E82GNPQY", "SE-000275037")</f>
        <v>SE-000275037</v>
      </c>
      <c r="D3309" s="4">
        <v>45916.295011574075</v>
      </c>
      <c r="E3309" s="5">
        <v>1</v>
      </c>
      <c r="F3309" s="5">
        <v>1</v>
      </c>
      <c r="G3309" s="5">
        <v>0</v>
      </c>
      <c r="H3309" s="4" t="s">
        <v>11</v>
      </c>
      <c r="I3309" s="5">
        <v>0</v>
      </c>
      <c r="J3309" s="4">
        <v>45916.294976851852</v>
      </c>
    </row>
    <row r="3310" spans="1:10" x14ac:dyDescent="0.2">
      <c r="A3310" s="2" t="s">
        <v>10</v>
      </c>
      <c r="B3310" s="3" t="str">
        <f t="shared" si="61"/>
        <v>France - HCP Survey Email - June 2025</v>
      </c>
      <c r="C3310" s="3" t="str">
        <f>HYPERLINK("https://otsuka-europe-crm.veevavault.com/ui/#object/sent_email__v/VBLZ025E82GNPQZ", "SE-000275038")</f>
        <v>SE-000275038</v>
      </c>
      <c r="D3310" s="4">
        <v>45916.354571759257</v>
      </c>
      <c r="E3310" s="5">
        <v>1</v>
      </c>
      <c r="F3310" s="5">
        <v>1</v>
      </c>
      <c r="G3310" s="5">
        <v>0</v>
      </c>
      <c r="H3310" s="4" t="s">
        <v>11</v>
      </c>
      <c r="I3310" s="5">
        <v>0</v>
      </c>
      <c r="J3310" s="4">
        <v>45916.294340277775</v>
      </c>
    </row>
    <row r="3311" spans="1:10" x14ac:dyDescent="0.2">
      <c r="A3311" s="2" t="s">
        <v>10</v>
      </c>
      <c r="B3311" s="3" t="str">
        <f t="shared" si="61"/>
        <v>France - HCP Survey Email - June 2025</v>
      </c>
      <c r="C3311" s="3" t="str">
        <f>HYPERLINK("https://otsuka-europe-crm.veevavault.com/ui/#object/sent_email__v/VBLZ025E82GNPR0", "SE-000275039")</f>
        <v>SE-000275039</v>
      </c>
      <c r="D3311" s="4">
        <v>45916.315601851849</v>
      </c>
      <c r="E3311" s="5">
        <v>1</v>
      </c>
      <c r="F3311" s="5">
        <v>1</v>
      </c>
      <c r="G3311" s="5">
        <v>0</v>
      </c>
      <c r="H3311" s="4" t="s">
        <v>11</v>
      </c>
      <c r="I3311" s="5">
        <v>0</v>
      </c>
      <c r="J3311" s="4">
        <v>45916.294502314813</v>
      </c>
    </row>
    <row r="3312" spans="1:10" x14ac:dyDescent="0.2">
      <c r="A3312" s="2" t="s">
        <v>10</v>
      </c>
      <c r="B3312" s="3" t="str">
        <f t="shared" si="61"/>
        <v>France - HCP Survey Email - June 2025</v>
      </c>
      <c r="C3312" s="3" t="str">
        <f>HYPERLINK("https://otsuka-europe-crm.veevavault.com/ui/#object/sent_email__v/VBLZ025E82GNPR2", "SE-000275041")</f>
        <v>SE-000275041</v>
      </c>
      <c r="D3312" s="4">
        <v>45916.346018518518</v>
      </c>
      <c r="E3312" s="5">
        <v>1</v>
      </c>
      <c r="F3312" s="5">
        <v>1</v>
      </c>
      <c r="G3312" s="5">
        <v>1</v>
      </c>
      <c r="H3312" s="4">
        <v>45916.34652777778</v>
      </c>
      <c r="I3312" s="5">
        <v>3</v>
      </c>
      <c r="J3312" s="4">
        <v>45916.294930555552</v>
      </c>
    </row>
    <row r="3313" spans="1:10" x14ac:dyDescent="0.2">
      <c r="A3313" s="2" t="s">
        <v>10</v>
      </c>
      <c r="B3313" s="3" t="str">
        <f t="shared" si="61"/>
        <v>France - HCP Survey Email - June 2025</v>
      </c>
      <c r="C3313" s="3" t="str">
        <f>HYPERLINK("https://otsuka-europe-crm.veevavault.com/ui/#object/sent_email__v/VBLZ025E82GNPR4", "SE-000275043")</f>
        <v>SE-000275043</v>
      </c>
      <c r="D3313" s="4" t="s">
        <v>11</v>
      </c>
      <c r="E3313" s="5">
        <v>0</v>
      </c>
      <c r="F3313" s="5">
        <v>0</v>
      </c>
      <c r="G3313" s="5">
        <v>0</v>
      </c>
      <c r="H3313" s="4" t="s">
        <v>11</v>
      </c>
      <c r="I3313" s="5">
        <v>0</v>
      </c>
      <c r="J3313" s="4">
        <v>45916.294641203705</v>
      </c>
    </row>
    <row r="3314" spans="1:10" x14ac:dyDescent="0.2">
      <c r="A3314" s="2" t="s">
        <v>10</v>
      </c>
      <c r="B3314" s="3" t="str">
        <f t="shared" si="61"/>
        <v>France - HCP Survey Email - June 2025</v>
      </c>
      <c r="C3314" s="3" t="str">
        <f>HYPERLINK("https://otsuka-europe-crm.veevavault.com/ui/#object/sent_email__v/VBLZ025E82GNPR5", "SE-000275044")</f>
        <v>SE-000275044</v>
      </c>
      <c r="D3314" s="4" t="s">
        <v>11</v>
      </c>
      <c r="E3314" s="5">
        <v>0</v>
      </c>
      <c r="F3314" s="5">
        <v>0</v>
      </c>
      <c r="G3314" s="5">
        <v>0</v>
      </c>
      <c r="H3314" s="4" t="s">
        <v>11</v>
      </c>
      <c r="I3314" s="5">
        <v>0</v>
      </c>
      <c r="J3314" s="4">
        <v>45916.294803240744</v>
      </c>
    </row>
    <row r="3315" spans="1:10" x14ac:dyDescent="0.2">
      <c r="A3315" s="2" t="s">
        <v>10</v>
      </c>
      <c r="B3315" s="3" t="str">
        <f t="shared" si="61"/>
        <v>France - HCP Survey Email - June 2025</v>
      </c>
      <c r="C3315" s="3" t="str">
        <f>HYPERLINK("https://otsuka-europe-crm.veevavault.com/ui/#object/sent_email__v/VBLZ025E82GNPR6", "SE-000275045")</f>
        <v>SE-000275045</v>
      </c>
      <c r="D3315" s="4" t="s">
        <v>11</v>
      </c>
      <c r="E3315" s="5">
        <v>0</v>
      </c>
      <c r="F3315" s="5">
        <v>0</v>
      </c>
      <c r="G3315" s="5">
        <v>0</v>
      </c>
      <c r="H3315" s="4" t="s">
        <v>11</v>
      </c>
      <c r="I3315" s="5">
        <v>0</v>
      </c>
      <c r="J3315" s="4">
        <v>45916.294212962966</v>
      </c>
    </row>
    <row r="3316" spans="1:10" x14ac:dyDescent="0.2">
      <c r="A3316" s="2" t="s">
        <v>10</v>
      </c>
      <c r="B3316" s="3" t="str">
        <f t="shared" si="61"/>
        <v>France - HCP Survey Email - June 2025</v>
      </c>
      <c r="C3316" s="3" t="str">
        <f>HYPERLINK("https://otsuka-europe-crm.veevavault.com/ui/#object/sent_email__v/VBLZ025E82GNPR7", "SE-000275046")</f>
        <v>SE-000275046</v>
      </c>
      <c r="D3316" s="4">
        <v>45917.375196759262</v>
      </c>
      <c r="E3316" s="5">
        <v>1</v>
      </c>
      <c r="F3316" s="5">
        <v>2</v>
      </c>
      <c r="G3316" s="5">
        <v>0</v>
      </c>
      <c r="H3316" s="4" t="s">
        <v>11</v>
      </c>
      <c r="I3316" s="5">
        <v>0</v>
      </c>
      <c r="J3316" s="4">
        <v>45916.294398148151</v>
      </c>
    </row>
    <row r="3317" spans="1:10" x14ac:dyDescent="0.2">
      <c r="A3317" s="2" t="s">
        <v>10</v>
      </c>
      <c r="B3317" s="3" t="str">
        <f t="shared" si="61"/>
        <v>France - HCP Survey Email - June 2025</v>
      </c>
      <c r="C3317" s="3" t="str">
        <f>HYPERLINK("https://otsuka-europe-crm.veevavault.com/ui/#object/sent_email__v/VBLZ025E82GNPR8", "SE-000275047")</f>
        <v>SE-000275047</v>
      </c>
      <c r="D3317" s="4" t="s">
        <v>11</v>
      </c>
      <c r="E3317" s="5">
        <v>0</v>
      </c>
      <c r="F3317" s="5">
        <v>0</v>
      </c>
      <c r="G3317" s="5">
        <v>0</v>
      </c>
      <c r="H3317" s="4" t="s">
        <v>11</v>
      </c>
      <c r="I3317" s="5">
        <v>0</v>
      </c>
      <c r="J3317" s="4">
        <v>45916.294594907406</v>
      </c>
    </row>
    <row r="3318" spans="1:10" x14ac:dyDescent="0.2">
      <c r="A3318" s="2" t="s">
        <v>10</v>
      </c>
      <c r="B3318" s="3" t="str">
        <f t="shared" si="61"/>
        <v>France - HCP Survey Email - June 2025</v>
      </c>
      <c r="C3318" s="3" t="str">
        <f>HYPERLINK("https://otsuka-europe-crm.veevavault.com/ui/#object/sent_email__v/VBLZ025E82GNPR9", "SE-000275048")</f>
        <v>SE-000275048</v>
      </c>
      <c r="D3318" s="4" t="s">
        <v>11</v>
      </c>
      <c r="E3318" s="5">
        <v>0</v>
      </c>
      <c r="F3318" s="5">
        <v>0</v>
      </c>
      <c r="G3318" s="5">
        <v>0</v>
      </c>
      <c r="H3318" s="4" t="s">
        <v>11</v>
      </c>
      <c r="I3318" s="5">
        <v>0</v>
      </c>
      <c r="J3318" s="4">
        <v>45916.294872685183</v>
      </c>
    </row>
    <row r="3319" spans="1:10" x14ac:dyDescent="0.2">
      <c r="A3319" s="2" t="s">
        <v>10</v>
      </c>
      <c r="B3319" s="3" t="str">
        <f t="shared" si="61"/>
        <v>France - HCP Survey Email - June 2025</v>
      </c>
      <c r="C3319" s="3" t="str">
        <f>HYPERLINK("https://otsuka-europe-crm.veevavault.com/ui/#object/sent_email__v/VBLZ025E82GNPRA", "SE-000275049")</f>
        <v>SE-000275049</v>
      </c>
      <c r="D3319" s="4" t="s">
        <v>11</v>
      </c>
      <c r="E3319" s="5">
        <v>0</v>
      </c>
      <c r="F3319" s="5">
        <v>0</v>
      </c>
      <c r="G3319" s="5">
        <v>0</v>
      </c>
      <c r="H3319" s="4" t="s">
        <v>11</v>
      </c>
      <c r="I3319" s="5">
        <v>0</v>
      </c>
      <c r="J3319" s="4">
        <v>45916.294212962966</v>
      </c>
    </row>
    <row r="3320" spans="1:10" x14ac:dyDescent="0.2">
      <c r="A3320" s="2" t="s">
        <v>10</v>
      </c>
      <c r="B3320" s="3" t="str">
        <f t="shared" si="61"/>
        <v>France - HCP Survey Email - June 2025</v>
      </c>
      <c r="C3320" s="3" t="str">
        <f>HYPERLINK("https://otsuka-europe-crm.veevavault.com/ui/#object/sent_email__v/VBLZ025E82GNPRB", "SE-000275050")</f>
        <v>SE-000275050</v>
      </c>
      <c r="D3320" s="4" t="s">
        <v>11</v>
      </c>
      <c r="E3320" s="5">
        <v>0</v>
      </c>
      <c r="F3320" s="5">
        <v>0</v>
      </c>
      <c r="G3320" s="5">
        <v>0</v>
      </c>
      <c r="H3320" s="4" t="s">
        <v>11</v>
      </c>
      <c r="I3320" s="5">
        <v>0</v>
      </c>
      <c r="J3320" s="4">
        <v>45916.294386574074</v>
      </c>
    </row>
    <row r="3321" spans="1:10" x14ac:dyDescent="0.2">
      <c r="A3321" s="2" t="s">
        <v>10</v>
      </c>
      <c r="B3321" s="3" t="str">
        <f t="shared" si="61"/>
        <v>France - HCP Survey Email - June 2025</v>
      </c>
      <c r="C3321" s="3" t="str">
        <f>HYPERLINK("https://otsuka-europe-crm.veevavault.com/ui/#object/sent_email__v/VBLZ025E82GNPRC", "SE-000275051")</f>
        <v>SE-000275051</v>
      </c>
      <c r="D3321" s="4" t="s">
        <v>11</v>
      </c>
      <c r="E3321" s="5">
        <v>0</v>
      </c>
      <c r="F3321" s="5">
        <v>0</v>
      </c>
      <c r="G3321" s="5">
        <v>0</v>
      </c>
      <c r="H3321" s="4" t="s">
        <v>11</v>
      </c>
      <c r="I3321" s="5">
        <v>0</v>
      </c>
      <c r="J3321" s="4">
        <v>45916.294710648152</v>
      </c>
    </row>
    <row r="3322" spans="1:10" x14ac:dyDescent="0.2">
      <c r="A3322" s="2" t="s">
        <v>10</v>
      </c>
      <c r="B3322" s="3" t="str">
        <f t="shared" si="61"/>
        <v>France - HCP Survey Email - June 2025</v>
      </c>
      <c r="C3322" s="3" t="str">
        <f>HYPERLINK("https://otsuka-europe-crm.veevavault.com/ui/#object/sent_email__v/VBLZ025E82GNPRD", "SE-000275052")</f>
        <v>SE-000275052</v>
      </c>
      <c r="D3322" s="4" t="s">
        <v>11</v>
      </c>
      <c r="E3322" s="5">
        <v>0</v>
      </c>
      <c r="F3322" s="5">
        <v>0</v>
      </c>
      <c r="G3322" s="5">
        <v>0</v>
      </c>
      <c r="H3322" s="4" t="s">
        <v>11</v>
      </c>
      <c r="I3322" s="5">
        <v>0</v>
      </c>
      <c r="J3322" s="4">
        <v>45916.294976851852</v>
      </c>
    </row>
    <row r="3323" spans="1:10" x14ac:dyDescent="0.2">
      <c r="A3323" s="2" t="s">
        <v>10</v>
      </c>
      <c r="B3323" s="3" t="str">
        <f t="shared" si="61"/>
        <v>France - HCP Survey Email - June 2025</v>
      </c>
      <c r="C3323" s="3" t="str">
        <f>HYPERLINK("https://otsuka-europe-crm.veevavault.com/ui/#object/sent_email__v/VBLZ025E82GNPRE", "SE-000275053")</f>
        <v>SE-000275053</v>
      </c>
      <c r="D3323" s="4">
        <v>45916.349143518521</v>
      </c>
      <c r="E3323" s="5">
        <v>1</v>
      </c>
      <c r="F3323" s="5">
        <v>1</v>
      </c>
      <c r="G3323" s="5">
        <v>1</v>
      </c>
      <c r="H3323" s="4">
        <v>45916.452199074076</v>
      </c>
      <c r="I3323" s="5">
        <v>1</v>
      </c>
      <c r="J3323" s="4">
        <v>45916.294270833336</v>
      </c>
    </row>
    <row r="3324" spans="1:10" x14ac:dyDescent="0.2">
      <c r="A3324" s="2" t="s">
        <v>10</v>
      </c>
      <c r="B3324" s="3" t="str">
        <f t="shared" si="61"/>
        <v>France - HCP Survey Email - June 2025</v>
      </c>
      <c r="C3324" s="3" t="str">
        <f>HYPERLINK("https://otsuka-europe-crm.veevavault.com/ui/#object/sent_email__v/VBLZ025E82GNPRF", "SE-000275054")</f>
        <v>SE-000275054</v>
      </c>
      <c r="D3324" s="4" t="s">
        <v>11</v>
      </c>
      <c r="E3324" s="5">
        <v>0</v>
      </c>
      <c r="F3324" s="5">
        <v>0</v>
      </c>
      <c r="G3324" s="5">
        <v>0</v>
      </c>
      <c r="H3324" s="4" t="s">
        <v>11</v>
      </c>
      <c r="I3324" s="5">
        <v>0</v>
      </c>
      <c r="J3324" s="4">
        <v>45916.294641203705</v>
      </c>
    </row>
    <row r="3325" spans="1:10" x14ac:dyDescent="0.2">
      <c r="A3325" s="2" t="s">
        <v>10</v>
      </c>
      <c r="B3325" s="3" t="str">
        <f t="shared" si="61"/>
        <v>France - HCP Survey Email - June 2025</v>
      </c>
      <c r="C3325" s="3" t="str">
        <f>HYPERLINK("https://otsuka-europe-crm.veevavault.com/ui/#object/sent_email__v/VBLZ025E82GNPRG", "SE-000275055")</f>
        <v>SE-000275055</v>
      </c>
      <c r="D3325" s="4" t="s">
        <v>11</v>
      </c>
      <c r="E3325" s="5">
        <v>0</v>
      </c>
      <c r="F3325" s="5">
        <v>0</v>
      </c>
      <c r="G3325" s="5">
        <v>0</v>
      </c>
      <c r="H3325" s="4" t="s">
        <v>11</v>
      </c>
      <c r="I3325" s="5">
        <v>0</v>
      </c>
      <c r="J3325" s="4">
        <v>45916.294745370367</v>
      </c>
    </row>
    <row r="3326" spans="1:10" x14ac:dyDescent="0.2">
      <c r="A3326" s="2" t="s">
        <v>10</v>
      </c>
      <c r="B3326" s="3" t="str">
        <f t="shared" si="61"/>
        <v>France - HCP Survey Email - June 2025</v>
      </c>
      <c r="C3326" s="3" t="str">
        <f>HYPERLINK("https://otsuka-europe-crm.veevavault.com/ui/#object/sent_email__v/VBLZ025E82GNPRH", "SE-000275056")</f>
        <v>SE-000275056</v>
      </c>
      <c r="D3326" s="4" t="s">
        <v>11</v>
      </c>
      <c r="E3326" s="5">
        <v>0</v>
      </c>
      <c r="F3326" s="5">
        <v>0</v>
      </c>
      <c r="G3326" s="5">
        <v>0</v>
      </c>
      <c r="H3326" s="4" t="s">
        <v>11</v>
      </c>
      <c r="I3326" s="5">
        <v>0</v>
      </c>
      <c r="J3326" s="4">
        <v>45916.294999999998</v>
      </c>
    </row>
    <row r="3327" spans="1:10" x14ac:dyDescent="0.2">
      <c r="A3327" s="2" t="s">
        <v>10</v>
      </c>
      <c r="B3327" s="3" t="str">
        <f t="shared" si="61"/>
        <v>France - HCP Survey Email - June 2025</v>
      </c>
      <c r="C3327" s="3" t="str">
        <f>HYPERLINK("https://otsuka-europe-crm.veevavault.com/ui/#object/sent_email__v/VBLZ025E82GNPRI", "SE-000275057")</f>
        <v>SE-000275057</v>
      </c>
      <c r="D3327" s="4" t="s">
        <v>11</v>
      </c>
      <c r="E3327" s="5">
        <v>0</v>
      </c>
      <c r="F3327" s="5">
        <v>0</v>
      </c>
      <c r="G3327" s="5">
        <v>0</v>
      </c>
      <c r="H3327" s="4" t="s">
        <v>11</v>
      </c>
      <c r="I3327" s="5">
        <v>0</v>
      </c>
      <c r="J3327" s="4">
        <v>45916.294363425928</v>
      </c>
    </row>
    <row r="3328" spans="1:10" x14ac:dyDescent="0.2">
      <c r="A3328" s="2" t="s">
        <v>10</v>
      </c>
      <c r="B3328" s="3" t="str">
        <f t="shared" si="61"/>
        <v>France - HCP Survey Email - June 2025</v>
      </c>
      <c r="C3328" s="3" t="str">
        <f>HYPERLINK("https://otsuka-europe-crm.veevavault.com/ui/#object/sent_email__v/VBLZ025E82GNPRJ", "SE-000275058")</f>
        <v>SE-000275058</v>
      </c>
      <c r="D3328" s="4" t="s">
        <v>11</v>
      </c>
      <c r="E3328" s="5">
        <v>0</v>
      </c>
      <c r="F3328" s="5">
        <v>0</v>
      </c>
      <c r="G3328" s="5">
        <v>0</v>
      </c>
      <c r="H3328" s="4" t="s">
        <v>11</v>
      </c>
      <c r="I3328" s="5">
        <v>0</v>
      </c>
      <c r="J3328" s="4">
        <v>45916.294583333336</v>
      </c>
    </row>
    <row r="3329" spans="1:10" x14ac:dyDescent="0.2">
      <c r="A3329" s="2" t="s">
        <v>10</v>
      </c>
      <c r="B3329" s="3" t="str">
        <f t="shared" ref="B3329:B3392" si="62">HYPERLINK("https://otsuka-europe-crm.veevavault.com/ui/#object/approved_document__v/V5OZ025E82TMV97", "France - HCP Survey Email - June 2025")</f>
        <v>France - HCP Survey Email - June 2025</v>
      </c>
      <c r="C3329" s="3" t="str">
        <f>HYPERLINK("https://otsuka-europe-crm.veevavault.com/ui/#object/sent_email__v/VBLZ025E82GNPRK", "SE-000275059")</f>
        <v>SE-000275059</v>
      </c>
      <c r="D3329" s="4" t="s">
        <v>11</v>
      </c>
      <c r="E3329" s="5">
        <v>0</v>
      </c>
      <c r="F3329" s="5">
        <v>0</v>
      </c>
      <c r="G3329" s="5">
        <v>0</v>
      </c>
      <c r="H3329" s="4" t="s">
        <v>11</v>
      </c>
      <c r="I3329" s="5">
        <v>0</v>
      </c>
      <c r="J3329" s="4">
        <v>45916.29483796296</v>
      </c>
    </row>
    <row r="3330" spans="1:10" x14ac:dyDescent="0.2">
      <c r="A3330" s="2" t="s">
        <v>10</v>
      </c>
      <c r="B3330" s="3" t="str">
        <f t="shared" si="62"/>
        <v>France - HCP Survey Email - June 2025</v>
      </c>
      <c r="C3330" s="3" t="str">
        <f>HYPERLINK("https://otsuka-europe-crm.veevavault.com/ui/#object/sent_email__v/VBLZ025E82GNPRL", "SE-000275060")</f>
        <v>SE-000275060</v>
      </c>
      <c r="D3330" s="4" t="s">
        <v>11</v>
      </c>
      <c r="E3330" s="5">
        <v>0</v>
      </c>
      <c r="F3330" s="5">
        <v>0</v>
      </c>
      <c r="G3330" s="5">
        <v>0</v>
      </c>
      <c r="H3330" s="4" t="s">
        <v>11</v>
      </c>
      <c r="I3330" s="5">
        <v>0</v>
      </c>
      <c r="J3330" s="4">
        <v>45916.294293981482</v>
      </c>
    </row>
    <row r="3331" spans="1:10" x14ac:dyDescent="0.2">
      <c r="A3331" s="2" t="s">
        <v>10</v>
      </c>
      <c r="B3331" s="3" t="str">
        <f t="shared" si="62"/>
        <v>France - HCP Survey Email - June 2025</v>
      </c>
      <c r="C3331" s="3" t="str">
        <f>HYPERLINK("https://otsuka-europe-crm.veevavault.com/ui/#object/sent_email__v/VBLZ025E82GNPRM", "SE-000275061")</f>
        <v>SE-000275061</v>
      </c>
      <c r="D3331" s="4" t="s">
        <v>11</v>
      </c>
      <c r="E3331" s="5">
        <v>0</v>
      </c>
      <c r="F3331" s="5">
        <v>0</v>
      </c>
      <c r="G3331" s="5">
        <v>0</v>
      </c>
      <c r="H3331" s="4" t="s">
        <v>11</v>
      </c>
      <c r="I3331" s="5">
        <v>0</v>
      </c>
      <c r="J3331" s="4">
        <v>45916.294374999998</v>
      </c>
    </row>
    <row r="3332" spans="1:10" x14ac:dyDescent="0.2">
      <c r="A3332" s="2" t="s">
        <v>10</v>
      </c>
      <c r="B3332" s="3" t="str">
        <f t="shared" si="62"/>
        <v>France - HCP Survey Email - June 2025</v>
      </c>
      <c r="C3332" s="3" t="str">
        <f>HYPERLINK("https://otsuka-europe-crm.veevavault.com/ui/#object/sent_email__v/VBLZ025E82GNPRN", "SE-000275062")</f>
        <v>SE-000275062</v>
      </c>
      <c r="D3332" s="4" t="s">
        <v>11</v>
      </c>
      <c r="E3332" s="5">
        <v>0</v>
      </c>
      <c r="F3332" s="5">
        <v>0</v>
      </c>
      <c r="G3332" s="5">
        <v>0</v>
      </c>
      <c r="H3332" s="4" t="s">
        <v>11</v>
      </c>
      <c r="I3332" s="5">
        <v>0</v>
      </c>
      <c r="J3332" s="4">
        <v>45916.294791666667</v>
      </c>
    </row>
    <row r="3333" spans="1:10" x14ac:dyDescent="0.2">
      <c r="A3333" s="2" t="s">
        <v>10</v>
      </c>
      <c r="B3333" s="3" t="str">
        <f t="shared" si="62"/>
        <v>France - HCP Survey Email - June 2025</v>
      </c>
      <c r="C3333" s="3" t="str">
        <f>HYPERLINK("https://otsuka-europe-crm.veevavault.com/ui/#object/sent_email__v/VBLZ025E82GNPRO", "SE-000275063")</f>
        <v>SE-000275063</v>
      </c>
      <c r="D3333" s="4" t="s">
        <v>11</v>
      </c>
      <c r="E3333" s="5">
        <v>0</v>
      </c>
      <c r="F3333" s="5">
        <v>0</v>
      </c>
      <c r="G3333" s="5">
        <v>0</v>
      </c>
      <c r="H3333" s="4" t="s">
        <v>11</v>
      </c>
      <c r="I3333" s="5">
        <v>0</v>
      </c>
      <c r="J3333" s="4">
        <v>45916.294976851852</v>
      </c>
    </row>
    <row r="3334" spans="1:10" x14ac:dyDescent="0.2">
      <c r="A3334" s="2" t="s">
        <v>10</v>
      </c>
      <c r="B3334" s="3" t="str">
        <f t="shared" si="62"/>
        <v>France - HCP Survey Email - June 2025</v>
      </c>
      <c r="C3334" s="3" t="str">
        <f>HYPERLINK("https://otsuka-europe-crm.veevavault.com/ui/#object/sent_email__v/VBLZ025E82GNPRP", "SE-000275064")</f>
        <v>SE-000275064</v>
      </c>
      <c r="D3334" s="4" t="s">
        <v>11</v>
      </c>
      <c r="E3334" s="5">
        <v>0</v>
      </c>
      <c r="F3334" s="5">
        <v>0</v>
      </c>
      <c r="G3334" s="5">
        <v>0</v>
      </c>
      <c r="H3334" s="4" t="s">
        <v>11</v>
      </c>
      <c r="I3334" s="5">
        <v>0</v>
      </c>
      <c r="J3334" s="4">
        <v>45916.294386574074</v>
      </c>
    </row>
    <row r="3335" spans="1:10" x14ac:dyDescent="0.2">
      <c r="A3335" s="2" t="s">
        <v>10</v>
      </c>
      <c r="B3335" s="3" t="str">
        <f t="shared" si="62"/>
        <v>France - HCP Survey Email - June 2025</v>
      </c>
      <c r="C3335" s="3" t="str">
        <f>HYPERLINK("https://otsuka-europe-crm.veevavault.com/ui/#object/sent_email__v/VBLZ025E82GNPRQ", "SE-000275065")</f>
        <v>SE-000275065</v>
      </c>
      <c r="D3335" s="4" t="s">
        <v>11</v>
      </c>
      <c r="E3335" s="5">
        <v>0</v>
      </c>
      <c r="F3335" s="5">
        <v>0</v>
      </c>
      <c r="G3335" s="5">
        <v>0</v>
      </c>
      <c r="H3335" s="4" t="s">
        <v>11</v>
      </c>
      <c r="I3335" s="5">
        <v>0</v>
      </c>
      <c r="J3335" s="4">
        <v>45915.423298611109</v>
      </c>
    </row>
    <row r="3336" spans="1:10" x14ac:dyDescent="0.2">
      <c r="A3336" s="2" t="s">
        <v>10</v>
      </c>
      <c r="B3336" s="3" t="str">
        <f t="shared" si="62"/>
        <v>France - HCP Survey Email - June 2025</v>
      </c>
      <c r="C3336" s="3" t="str">
        <f>HYPERLINK("https://otsuka-europe-crm.veevavault.com/ui/#object/sent_email__v/VBLZ025E82GNPRR", "SE-000275066")</f>
        <v>SE-000275066</v>
      </c>
      <c r="D3336" s="4" t="s">
        <v>11</v>
      </c>
      <c r="E3336" s="5">
        <v>0</v>
      </c>
      <c r="F3336" s="5">
        <v>0</v>
      </c>
      <c r="G3336" s="5">
        <v>0</v>
      </c>
      <c r="H3336" s="4" t="s">
        <v>11</v>
      </c>
      <c r="I3336" s="5">
        <v>0</v>
      </c>
      <c r="J3336" s="4">
        <v>45916.294768518521</v>
      </c>
    </row>
    <row r="3337" spans="1:10" x14ac:dyDescent="0.2">
      <c r="A3337" s="2" t="s">
        <v>10</v>
      </c>
      <c r="B3337" s="3" t="str">
        <f t="shared" si="62"/>
        <v>France - HCP Survey Email - June 2025</v>
      </c>
      <c r="C3337" s="3" t="str">
        <f>HYPERLINK("https://otsuka-europe-crm.veevavault.com/ui/#object/sent_email__v/VBLZ025E82GNPRS", "SE-000275067")</f>
        <v>SE-000275067</v>
      </c>
      <c r="D3337" s="4" t="s">
        <v>11</v>
      </c>
      <c r="E3337" s="5">
        <v>0</v>
      </c>
      <c r="F3337" s="5">
        <v>0</v>
      </c>
      <c r="G3337" s="5">
        <v>0</v>
      </c>
      <c r="H3337" s="4" t="s">
        <v>11</v>
      </c>
      <c r="I3337" s="5">
        <v>0</v>
      </c>
      <c r="J3337" s="4">
        <v>45916.294988425929</v>
      </c>
    </row>
    <row r="3338" spans="1:10" x14ac:dyDescent="0.2">
      <c r="A3338" s="2" t="s">
        <v>10</v>
      </c>
      <c r="B3338" s="3" t="str">
        <f t="shared" si="62"/>
        <v>France - HCP Survey Email - June 2025</v>
      </c>
      <c r="C3338" s="3" t="str">
        <f>HYPERLINK("https://otsuka-europe-crm.veevavault.com/ui/#object/sent_email__v/VBLZ025E82GNPRT", "SE-000275068")</f>
        <v>SE-000275068</v>
      </c>
      <c r="D3338" s="4">
        <v>45918.708287037036</v>
      </c>
      <c r="E3338" s="5">
        <v>1</v>
      </c>
      <c r="F3338" s="5">
        <v>4</v>
      </c>
      <c r="G3338" s="5">
        <v>0</v>
      </c>
      <c r="H3338" s="4" t="s">
        <v>11</v>
      </c>
      <c r="I3338" s="5">
        <v>0</v>
      </c>
      <c r="J3338" s="4">
        <v>45916.294479166667</v>
      </c>
    </row>
    <row r="3339" spans="1:10" x14ac:dyDescent="0.2">
      <c r="A3339" s="2" t="s">
        <v>10</v>
      </c>
      <c r="B3339" s="3" t="str">
        <f t="shared" si="62"/>
        <v>France - HCP Survey Email - June 2025</v>
      </c>
      <c r="C3339" s="3" t="str">
        <f>HYPERLINK("https://otsuka-europe-crm.veevavault.com/ui/#object/sent_email__v/VBLZ025E82GNPRU", "SE-000275069")</f>
        <v>SE-000275069</v>
      </c>
      <c r="D3339" s="4" t="s">
        <v>11</v>
      </c>
      <c r="E3339" s="5">
        <v>0</v>
      </c>
      <c r="F3339" s="5">
        <v>0</v>
      </c>
      <c r="G3339" s="5">
        <v>0</v>
      </c>
      <c r="H3339" s="4" t="s">
        <v>11</v>
      </c>
      <c r="I3339" s="5">
        <v>0</v>
      </c>
      <c r="J3339" s="4">
        <v>45916.294641203705</v>
      </c>
    </row>
    <row r="3340" spans="1:10" x14ac:dyDescent="0.2">
      <c r="A3340" s="2" t="s">
        <v>10</v>
      </c>
      <c r="B3340" s="3" t="str">
        <f t="shared" si="62"/>
        <v>France - HCP Survey Email - June 2025</v>
      </c>
      <c r="C3340" s="3" t="str">
        <f>HYPERLINK("https://otsuka-europe-crm.veevavault.com/ui/#object/sent_email__v/VBLZ025E82GNPRW", "SE-000275071")</f>
        <v>SE-000275071</v>
      </c>
      <c r="D3340" s="4" t="s">
        <v>11</v>
      </c>
      <c r="E3340" s="5">
        <v>0</v>
      </c>
      <c r="F3340" s="5">
        <v>0</v>
      </c>
      <c r="G3340" s="5">
        <v>0</v>
      </c>
      <c r="H3340" s="4" t="s">
        <v>11</v>
      </c>
      <c r="I3340" s="5">
        <v>0</v>
      </c>
      <c r="J3340" s="4">
        <v>45916.294189814813</v>
      </c>
    </row>
    <row r="3341" spans="1:10" x14ac:dyDescent="0.2">
      <c r="A3341" s="2" t="s">
        <v>10</v>
      </c>
      <c r="B3341" s="3" t="str">
        <f t="shared" si="62"/>
        <v>France - HCP Survey Email - June 2025</v>
      </c>
      <c r="C3341" s="3" t="str">
        <f>HYPERLINK("https://otsuka-europe-crm.veevavault.com/ui/#object/sent_email__v/VBLZ025E82GNPRX", "SE-000275072")</f>
        <v>SE-000275072</v>
      </c>
      <c r="D3341" s="4">
        <v>45916.348981481482</v>
      </c>
      <c r="E3341" s="5">
        <v>1</v>
      </c>
      <c r="F3341" s="5">
        <v>1</v>
      </c>
      <c r="G3341" s="5">
        <v>0</v>
      </c>
      <c r="H3341" s="4" t="s">
        <v>11</v>
      </c>
      <c r="I3341" s="5">
        <v>0</v>
      </c>
      <c r="J3341" s="4">
        <v>45916.294444444444</v>
      </c>
    </row>
    <row r="3342" spans="1:10" x14ac:dyDescent="0.2">
      <c r="A3342" s="2" t="s">
        <v>10</v>
      </c>
      <c r="B3342" s="3" t="str">
        <f t="shared" si="62"/>
        <v>France - HCP Survey Email - June 2025</v>
      </c>
      <c r="C3342" s="3" t="str">
        <f>HYPERLINK("https://otsuka-europe-crm.veevavault.com/ui/#object/sent_email__v/VBLZ025E82GNPRY", "SE-000275073")</f>
        <v>SE-000275073</v>
      </c>
      <c r="D3342" s="4" t="s">
        <v>11</v>
      </c>
      <c r="E3342" s="5">
        <v>0</v>
      </c>
      <c r="F3342" s="5">
        <v>0</v>
      </c>
      <c r="G3342" s="5">
        <v>0</v>
      </c>
      <c r="H3342" s="4" t="s">
        <v>11</v>
      </c>
      <c r="I3342" s="5">
        <v>0</v>
      </c>
      <c r="J3342" s="4">
        <v>45916.294479166667</v>
      </c>
    </row>
    <row r="3343" spans="1:10" x14ac:dyDescent="0.2">
      <c r="A3343" s="2" t="s">
        <v>10</v>
      </c>
      <c r="B3343" s="3" t="str">
        <f t="shared" si="62"/>
        <v>France - HCP Survey Email - June 2025</v>
      </c>
      <c r="C3343" s="3" t="str">
        <f>HYPERLINK("https://otsuka-europe-crm.veevavault.com/ui/#object/sent_email__v/VBLZ025E82GNPRZ", "SE-000275074")</f>
        <v>SE-000275074</v>
      </c>
      <c r="D3343" s="4" t="s">
        <v>11</v>
      </c>
      <c r="E3343" s="5">
        <v>0</v>
      </c>
      <c r="F3343" s="5">
        <v>0</v>
      </c>
      <c r="G3343" s="5">
        <v>0</v>
      </c>
      <c r="H3343" s="4" t="s">
        <v>11</v>
      </c>
      <c r="I3343" s="5">
        <v>0</v>
      </c>
      <c r="J3343" s="4">
        <v>45916.294710648152</v>
      </c>
    </row>
    <row r="3344" spans="1:10" x14ac:dyDescent="0.2">
      <c r="A3344" s="2" t="s">
        <v>10</v>
      </c>
      <c r="B3344" s="3" t="str">
        <f t="shared" si="62"/>
        <v>France - HCP Survey Email - June 2025</v>
      </c>
      <c r="C3344" s="3" t="str">
        <f>HYPERLINK("https://otsuka-europe-crm.veevavault.com/ui/#object/sent_email__v/VBLZ025E82GNPS0", "SE-000275075")</f>
        <v>SE-000275075</v>
      </c>
      <c r="D3344" s="4" t="s">
        <v>11</v>
      </c>
      <c r="E3344" s="5">
        <v>0</v>
      </c>
      <c r="F3344" s="5">
        <v>0</v>
      </c>
      <c r="G3344" s="5">
        <v>0</v>
      </c>
      <c r="H3344" s="4" t="s">
        <v>11</v>
      </c>
      <c r="I3344" s="5">
        <v>0</v>
      </c>
      <c r="J3344" s="4">
        <v>45916.294756944444</v>
      </c>
    </row>
    <row r="3345" spans="1:10" x14ac:dyDescent="0.2">
      <c r="A3345" s="2" t="s">
        <v>10</v>
      </c>
      <c r="B3345" s="3" t="str">
        <f t="shared" si="62"/>
        <v>France - HCP Survey Email - June 2025</v>
      </c>
      <c r="C3345" s="3" t="str">
        <f>HYPERLINK("https://otsuka-europe-crm.veevavault.com/ui/#object/sent_email__v/VBLZ025E82GNPS1", "SE-000275076")</f>
        <v>SE-000275076</v>
      </c>
      <c r="D3345" s="4" t="s">
        <v>11</v>
      </c>
      <c r="E3345" s="5">
        <v>0</v>
      </c>
      <c r="F3345" s="5">
        <v>0</v>
      </c>
      <c r="G3345" s="5">
        <v>0</v>
      </c>
      <c r="H3345" s="4" t="s">
        <v>11</v>
      </c>
      <c r="I3345" s="5">
        <v>0</v>
      </c>
      <c r="J3345" s="4">
        <v>45916.294282407405</v>
      </c>
    </row>
    <row r="3346" spans="1:10" x14ac:dyDescent="0.2">
      <c r="A3346" s="2" t="s">
        <v>10</v>
      </c>
      <c r="B3346" s="3" t="str">
        <f t="shared" si="62"/>
        <v>France - HCP Survey Email - June 2025</v>
      </c>
      <c r="C3346" s="3" t="str">
        <f>HYPERLINK("https://otsuka-europe-crm.veevavault.com/ui/#object/sent_email__v/VBLZ025E82GNPS2", "SE-000275077")</f>
        <v>SE-000275077</v>
      </c>
      <c r="D3346" s="4" t="s">
        <v>11</v>
      </c>
      <c r="E3346" s="5">
        <v>0</v>
      </c>
      <c r="F3346" s="5">
        <v>0</v>
      </c>
      <c r="G3346" s="5">
        <v>0</v>
      </c>
      <c r="H3346" s="4" t="s">
        <v>11</v>
      </c>
      <c r="I3346" s="5">
        <v>0</v>
      </c>
      <c r="J3346" s="4">
        <v>45916.294363425928</v>
      </c>
    </row>
    <row r="3347" spans="1:10" x14ac:dyDescent="0.2">
      <c r="A3347" s="2" t="s">
        <v>10</v>
      </c>
      <c r="B3347" s="3" t="str">
        <f t="shared" si="62"/>
        <v>France - HCP Survey Email - June 2025</v>
      </c>
      <c r="C3347" s="3" t="str">
        <f>HYPERLINK("https://otsuka-europe-crm.veevavault.com/ui/#object/sent_email__v/VBLZ025E82GNPS4", "SE-000275079")</f>
        <v>SE-000275079</v>
      </c>
      <c r="D3347" s="4">
        <v>45918.858576388891</v>
      </c>
      <c r="E3347" s="5">
        <v>1</v>
      </c>
      <c r="F3347" s="5">
        <v>1</v>
      </c>
      <c r="G3347" s="5">
        <v>0</v>
      </c>
      <c r="H3347" s="4" t="s">
        <v>11</v>
      </c>
      <c r="I3347" s="5">
        <v>0</v>
      </c>
      <c r="J3347" s="4">
        <v>45916.295011574075</v>
      </c>
    </row>
    <row r="3348" spans="1:10" x14ac:dyDescent="0.2">
      <c r="A3348" s="2" t="s">
        <v>10</v>
      </c>
      <c r="B3348" s="3" t="str">
        <f t="shared" si="62"/>
        <v>France - HCP Survey Email - June 2025</v>
      </c>
      <c r="C3348" s="3" t="str">
        <f>HYPERLINK("https://otsuka-europe-crm.veevavault.com/ui/#object/sent_email__v/VBLZ025E82GNPS5", "SE-000275080")</f>
        <v>SE-000275080</v>
      </c>
      <c r="D3348" s="4" t="s">
        <v>11</v>
      </c>
      <c r="E3348" s="5">
        <v>0</v>
      </c>
      <c r="F3348" s="5">
        <v>0</v>
      </c>
      <c r="G3348" s="5">
        <v>0</v>
      </c>
      <c r="H3348" s="4" t="s">
        <v>11</v>
      </c>
      <c r="I3348" s="5">
        <v>0</v>
      </c>
      <c r="J3348" s="4">
        <v>45916.294293981482</v>
      </c>
    </row>
    <row r="3349" spans="1:10" x14ac:dyDescent="0.2">
      <c r="A3349" s="2" t="s">
        <v>10</v>
      </c>
      <c r="B3349" s="3" t="str">
        <f t="shared" si="62"/>
        <v>France - HCP Survey Email - June 2025</v>
      </c>
      <c r="C3349" s="3" t="str">
        <f>HYPERLINK("https://otsuka-europe-crm.veevavault.com/ui/#object/sent_email__v/VBLZ025E82GNPS6", "SE-000275081")</f>
        <v>SE-000275081</v>
      </c>
      <c r="D3349" s="4" t="s">
        <v>11</v>
      </c>
      <c r="E3349" s="5">
        <v>0</v>
      </c>
      <c r="F3349" s="5">
        <v>0</v>
      </c>
      <c r="G3349" s="5">
        <v>0</v>
      </c>
      <c r="H3349" s="4" t="s">
        <v>11</v>
      </c>
      <c r="I3349" s="5">
        <v>0</v>
      </c>
      <c r="J3349" s="4">
        <v>45916.294456018521</v>
      </c>
    </row>
    <row r="3350" spans="1:10" x14ac:dyDescent="0.2">
      <c r="A3350" s="2" t="s">
        <v>10</v>
      </c>
      <c r="B3350" s="3" t="str">
        <f t="shared" si="62"/>
        <v>France - HCP Survey Email - June 2025</v>
      </c>
      <c r="C3350" s="3" t="str">
        <f>HYPERLINK("https://otsuka-europe-crm.veevavault.com/ui/#object/sent_email__v/VBLZ025E82GNPS7", "SE-000275082")</f>
        <v>SE-000275082</v>
      </c>
      <c r="D3350" s="4" t="s">
        <v>11</v>
      </c>
      <c r="E3350" s="5">
        <v>0</v>
      </c>
      <c r="F3350" s="5">
        <v>0</v>
      </c>
      <c r="G3350" s="5">
        <v>0</v>
      </c>
      <c r="H3350" s="4" t="s">
        <v>11</v>
      </c>
      <c r="I3350" s="5">
        <v>0</v>
      </c>
      <c r="J3350" s="4">
        <v>45916.294733796298</v>
      </c>
    </row>
    <row r="3351" spans="1:10" x14ac:dyDescent="0.2">
      <c r="A3351" s="2" t="s">
        <v>10</v>
      </c>
      <c r="B3351" s="3" t="str">
        <f t="shared" si="62"/>
        <v>France - HCP Survey Email - June 2025</v>
      </c>
      <c r="C3351" s="3" t="str">
        <f>HYPERLINK("https://otsuka-europe-crm.veevavault.com/ui/#object/sent_email__v/VBLZ025E82GNPS8", "SE-000275083")</f>
        <v>SE-000275083</v>
      </c>
      <c r="D3351" s="4">
        <v>45916.316469907404</v>
      </c>
      <c r="E3351" s="5">
        <v>1</v>
      </c>
      <c r="F3351" s="5">
        <v>2</v>
      </c>
      <c r="G3351" s="5">
        <v>0</v>
      </c>
      <c r="H3351" s="4" t="s">
        <v>11</v>
      </c>
      <c r="I3351" s="5">
        <v>0</v>
      </c>
      <c r="J3351" s="4">
        <v>45916.294270833336</v>
      </c>
    </row>
    <row r="3352" spans="1:10" x14ac:dyDescent="0.2">
      <c r="A3352" s="2" t="s">
        <v>10</v>
      </c>
      <c r="B3352" s="3" t="str">
        <f t="shared" si="62"/>
        <v>France - HCP Survey Email - June 2025</v>
      </c>
      <c r="C3352" s="3" t="str">
        <f>HYPERLINK("https://otsuka-europe-crm.veevavault.com/ui/#object/sent_email__v/VBLZ025E82GNPS9", "SE-000275084")</f>
        <v>SE-000275084</v>
      </c>
      <c r="D3352" s="4" t="s">
        <v>11</v>
      </c>
      <c r="E3352" s="5">
        <v>0</v>
      </c>
      <c r="F3352" s="5">
        <v>0</v>
      </c>
      <c r="G3352" s="5">
        <v>0</v>
      </c>
      <c r="H3352" s="4" t="s">
        <v>11</v>
      </c>
      <c r="I3352" s="5">
        <v>0</v>
      </c>
      <c r="J3352" s="4">
        <v>45916.294432870367</v>
      </c>
    </row>
    <row r="3353" spans="1:10" x14ac:dyDescent="0.2">
      <c r="A3353" s="2" t="s">
        <v>10</v>
      </c>
      <c r="B3353" s="3" t="str">
        <f t="shared" si="62"/>
        <v>France - HCP Survey Email - June 2025</v>
      </c>
      <c r="C3353" s="3" t="str">
        <f>HYPERLINK("https://otsuka-europe-crm.veevavault.com/ui/#object/sent_email__v/VBLZ025E82GNPSB", "SE-000275086")</f>
        <v>SE-000275086</v>
      </c>
      <c r="D3353" s="4">
        <v>46027.747488425928</v>
      </c>
      <c r="E3353" s="5">
        <v>1</v>
      </c>
      <c r="F3353" s="5">
        <v>1</v>
      </c>
      <c r="G3353" s="5">
        <v>0</v>
      </c>
      <c r="H3353" s="4" t="s">
        <v>11</v>
      </c>
      <c r="I3353" s="5">
        <v>0</v>
      </c>
      <c r="J3353" s="4">
        <v>45916.294733796298</v>
      </c>
    </row>
    <row r="3354" spans="1:10" x14ac:dyDescent="0.2">
      <c r="A3354" s="2" t="s">
        <v>10</v>
      </c>
      <c r="B3354" s="3" t="str">
        <f t="shared" si="62"/>
        <v>France - HCP Survey Email - June 2025</v>
      </c>
      <c r="C3354" s="3" t="str">
        <f>HYPERLINK("https://otsuka-europe-crm.veevavault.com/ui/#object/sent_email__v/VBLZ025E82GNPSC", "SE-000275087")</f>
        <v>SE-000275087</v>
      </c>
      <c r="D3354" s="4" t="s">
        <v>11</v>
      </c>
      <c r="E3354" s="5">
        <v>0</v>
      </c>
      <c r="F3354" s="5">
        <v>0</v>
      </c>
      <c r="G3354" s="5">
        <v>0</v>
      </c>
      <c r="H3354" s="4" t="s">
        <v>11</v>
      </c>
      <c r="I3354" s="5">
        <v>0</v>
      </c>
      <c r="J3354" s="4">
        <v>45916.294236111113</v>
      </c>
    </row>
    <row r="3355" spans="1:10" x14ac:dyDescent="0.2">
      <c r="A3355" s="2" t="s">
        <v>10</v>
      </c>
      <c r="B3355" s="3" t="str">
        <f t="shared" si="62"/>
        <v>France - HCP Survey Email - June 2025</v>
      </c>
      <c r="C3355" s="3" t="str">
        <f>HYPERLINK("https://otsuka-europe-crm.veevavault.com/ui/#object/sent_email__v/VBLZ025E82GNPSF", "SE-000275090")</f>
        <v>SE-000275090</v>
      </c>
      <c r="D3355" s="4">
        <v>45916.295590277776</v>
      </c>
      <c r="E3355" s="5">
        <v>1</v>
      </c>
      <c r="F3355" s="5">
        <v>1</v>
      </c>
      <c r="G3355" s="5">
        <v>1</v>
      </c>
      <c r="H3355" s="4">
        <v>45916.295590277776</v>
      </c>
      <c r="I3355" s="5">
        <v>1</v>
      </c>
      <c r="J3355" s="4">
        <v>45916.294988425929</v>
      </c>
    </row>
    <row r="3356" spans="1:10" x14ac:dyDescent="0.2">
      <c r="A3356" s="2" t="s">
        <v>10</v>
      </c>
      <c r="B3356" s="3" t="str">
        <f t="shared" si="62"/>
        <v>France - HCP Survey Email - June 2025</v>
      </c>
      <c r="C3356" s="3" t="str">
        <f>HYPERLINK("https://otsuka-europe-crm.veevavault.com/ui/#object/sent_email__v/VBLZ025E82GNPSG", "SE-000275091")</f>
        <v>SE-000275091</v>
      </c>
      <c r="D3356" s="4" t="s">
        <v>11</v>
      </c>
      <c r="E3356" s="5">
        <v>0</v>
      </c>
      <c r="F3356" s="5">
        <v>0</v>
      </c>
      <c r="G3356" s="5">
        <v>0</v>
      </c>
      <c r="H3356" s="4" t="s">
        <v>11</v>
      </c>
      <c r="I3356" s="5">
        <v>0</v>
      </c>
      <c r="J3356" s="4">
        <v>45916.294305555559</v>
      </c>
    </row>
    <row r="3357" spans="1:10" x14ac:dyDescent="0.2">
      <c r="A3357" s="2" t="s">
        <v>10</v>
      </c>
      <c r="B3357" s="3" t="str">
        <f t="shared" si="62"/>
        <v>France - HCP Survey Email - June 2025</v>
      </c>
      <c r="C3357" s="3" t="str">
        <f>HYPERLINK("https://otsuka-europe-crm.veevavault.com/ui/#object/sent_email__v/VBLZ025E82GNPSH", "SE-000275092")</f>
        <v>SE-000275092</v>
      </c>
      <c r="D3357" s="4">
        <v>45916.3278125</v>
      </c>
      <c r="E3357" s="5">
        <v>1</v>
      </c>
      <c r="F3357" s="5">
        <v>1</v>
      </c>
      <c r="G3357" s="5">
        <v>0</v>
      </c>
      <c r="H3357" s="4" t="s">
        <v>11</v>
      </c>
      <c r="I3357" s="5">
        <v>0</v>
      </c>
      <c r="J3357" s="4">
        <v>45916.294571759259</v>
      </c>
    </row>
    <row r="3358" spans="1:10" x14ac:dyDescent="0.2">
      <c r="A3358" s="2" t="s">
        <v>10</v>
      </c>
      <c r="B3358" s="3" t="str">
        <f t="shared" si="62"/>
        <v>France - HCP Survey Email - June 2025</v>
      </c>
      <c r="C3358" s="3" t="str">
        <f>HYPERLINK("https://otsuka-europe-crm.veevavault.com/ui/#object/sent_email__v/VBLZ025E82GNPSI", "SE-000275093")</f>
        <v>SE-000275093</v>
      </c>
      <c r="D3358" s="4" t="s">
        <v>11</v>
      </c>
      <c r="E3358" s="5">
        <v>0</v>
      </c>
      <c r="F3358" s="5">
        <v>0</v>
      </c>
      <c r="G3358" s="5">
        <v>0</v>
      </c>
      <c r="H3358" s="4" t="s">
        <v>11</v>
      </c>
      <c r="I3358" s="5">
        <v>0</v>
      </c>
      <c r="J3358" s="4">
        <v>45916.294722222221</v>
      </c>
    </row>
    <row r="3359" spans="1:10" x14ac:dyDescent="0.2">
      <c r="A3359" s="2" t="s">
        <v>10</v>
      </c>
      <c r="B3359" s="3" t="str">
        <f t="shared" si="62"/>
        <v>France - HCP Survey Email - June 2025</v>
      </c>
      <c r="C3359" s="3" t="str">
        <f>HYPERLINK("https://otsuka-europe-crm.veevavault.com/ui/#object/sent_email__v/VBLZ025E82GNPSJ", "SE-000275094")</f>
        <v>SE-000275094</v>
      </c>
      <c r="D3359" s="4" t="s">
        <v>11</v>
      </c>
      <c r="E3359" s="5">
        <v>0</v>
      </c>
      <c r="F3359" s="5">
        <v>0</v>
      </c>
      <c r="G3359" s="5">
        <v>0</v>
      </c>
      <c r="H3359" s="4" t="s">
        <v>11</v>
      </c>
      <c r="I3359" s="5">
        <v>0</v>
      </c>
      <c r="J3359" s="4">
        <v>45916.294247685182</v>
      </c>
    </row>
    <row r="3360" spans="1:10" x14ac:dyDescent="0.2">
      <c r="A3360" s="2" t="s">
        <v>10</v>
      </c>
      <c r="B3360" s="3" t="str">
        <f t="shared" si="62"/>
        <v>France - HCP Survey Email - June 2025</v>
      </c>
      <c r="C3360" s="3" t="str">
        <f>HYPERLINK("https://otsuka-europe-crm.veevavault.com/ui/#object/sent_email__v/VBLZ025E82GNPSK", "SE-000275095")</f>
        <v>SE-000275095</v>
      </c>
      <c r="D3360" s="4" t="s">
        <v>11</v>
      </c>
      <c r="E3360" s="5">
        <v>0</v>
      </c>
      <c r="F3360" s="5">
        <v>0</v>
      </c>
      <c r="G3360" s="5">
        <v>0</v>
      </c>
      <c r="H3360" s="4" t="s">
        <v>11</v>
      </c>
      <c r="I3360" s="5">
        <v>0</v>
      </c>
      <c r="J3360" s="4">
        <v>45916.294398148151</v>
      </c>
    </row>
    <row r="3361" spans="1:10" x14ac:dyDescent="0.2">
      <c r="A3361" s="2" t="s">
        <v>10</v>
      </c>
      <c r="B3361" s="3" t="str">
        <f t="shared" si="62"/>
        <v>France - HCP Survey Email - June 2025</v>
      </c>
      <c r="C3361" s="3" t="str">
        <f>HYPERLINK("https://otsuka-europe-crm.veevavault.com/ui/#object/sent_email__v/VBLZ025E82GNPSL", "SE-000275096")</f>
        <v>SE-000275096</v>
      </c>
      <c r="D3361" s="4" t="s">
        <v>11</v>
      </c>
      <c r="E3361" s="5">
        <v>0</v>
      </c>
      <c r="F3361" s="5">
        <v>0</v>
      </c>
      <c r="G3361" s="5">
        <v>0</v>
      </c>
      <c r="H3361" s="4" t="s">
        <v>11</v>
      </c>
      <c r="I3361" s="5">
        <v>0</v>
      </c>
      <c r="J3361" s="4">
        <v>45916.294629629629</v>
      </c>
    </row>
    <row r="3362" spans="1:10" x14ac:dyDescent="0.2">
      <c r="A3362" s="2" t="s">
        <v>10</v>
      </c>
      <c r="B3362" s="3" t="str">
        <f t="shared" si="62"/>
        <v>France - HCP Survey Email - June 2025</v>
      </c>
      <c r="C3362" s="3" t="str">
        <f>HYPERLINK("https://otsuka-europe-crm.veevavault.com/ui/#object/sent_email__v/VBLZ025E82GNPSM", "SE-000275097")</f>
        <v>SE-000275097</v>
      </c>
      <c r="D3362" s="4" t="s">
        <v>11</v>
      </c>
      <c r="E3362" s="5">
        <v>0</v>
      </c>
      <c r="F3362" s="5">
        <v>0</v>
      </c>
      <c r="G3362" s="5">
        <v>0</v>
      </c>
      <c r="H3362" s="4" t="s">
        <v>11</v>
      </c>
      <c r="I3362" s="5">
        <v>0</v>
      </c>
      <c r="J3362" s="4">
        <v>45916.294872685183</v>
      </c>
    </row>
    <row r="3363" spans="1:10" x14ac:dyDescent="0.2">
      <c r="A3363" s="2" t="s">
        <v>10</v>
      </c>
      <c r="B3363" s="3" t="str">
        <f t="shared" si="62"/>
        <v>France - HCP Survey Email - June 2025</v>
      </c>
      <c r="C3363" s="3" t="str">
        <f>HYPERLINK("https://otsuka-europe-crm.veevavault.com/ui/#object/sent_email__v/VBLZ025E82GNPSN", "SE-000275098")</f>
        <v>SE-000275098</v>
      </c>
      <c r="D3363" s="4" t="s">
        <v>11</v>
      </c>
      <c r="E3363" s="5">
        <v>0</v>
      </c>
      <c r="F3363" s="5">
        <v>0</v>
      </c>
      <c r="G3363" s="5">
        <v>0</v>
      </c>
      <c r="H3363" s="4" t="s">
        <v>11</v>
      </c>
      <c r="I3363" s="5">
        <v>0</v>
      </c>
      <c r="J3363" s="4">
        <v>45916.294270833336</v>
      </c>
    </row>
    <row r="3364" spans="1:10" x14ac:dyDescent="0.2">
      <c r="A3364" s="2" t="s">
        <v>10</v>
      </c>
      <c r="B3364" s="3" t="str">
        <f t="shared" si="62"/>
        <v>France - HCP Survey Email - June 2025</v>
      </c>
      <c r="C3364" s="3" t="str">
        <f>HYPERLINK("https://otsuka-europe-crm.veevavault.com/ui/#object/sent_email__v/VBLZ025E82GNPSO", "SE-000275099")</f>
        <v>SE-000275099</v>
      </c>
      <c r="D3364" s="4">
        <v>46058.879432870373</v>
      </c>
      <c r="E3364" s="5">
        <v>1</v>
      </c>
      <c r="F3364" s="5">
        <v>1</v>
      </c>
      <c r="G3364" s="5">
        <v>1</v>
      </c>
      <c r="H3364" s="4">
        <v>46058.879432870373</v>
      </c>
      <c r="I3364" s="5">
        <v>1</v>
      </c>
      <c r="J3364" s="4">
        <v>45916.294374999998</v>
      </c>
    </row>
    <row r="3365" spans="1:10" x14ac:dyDescent="0.2">
      <c r="A3365" s="2" t="s">
        <v>10</v>
      </c>
      <c r="B3365" s="3" t="str">
        <f t="shared" si="62"/>
        <v>France - HCP Survey Email - June 2025</v>
      </c>
      <c r="C3365" s="3" t="str">
        <f>HYPERLINK("https://otsuka-europe-crm.veevavault.com/ui/#object/sent_email__v/VBLZ025E82GNPSP", "SE-000275100")</f>
        <v>SE-000275100</v>
      </c>
      <c r="D3365" s="4">
        <v>45916.294895833336</v>
      </c>
      <c r="E3365" s="5">
        <v>1</v>
      </c>
      <c r="F3365" s="5">
        <v>1</v>
      </c>
      <c r="G3365" s="5">
        <v>1</v>
      </c>
      <c r="H3365" s="4">
        <v>45916.294895833336</v>
      </c>
      <c r="I3365" s="5">
        <v>1</v>
      </c>
      <c r="J3365" s="4">
        <v>45916.294722222221</v>
      </c>
    </row>
    <row r="3366" spans="1:10" x14ac:dyDescent="0.2">
      <c r="A3366" s="2" t="s">
        <v>10</v>
      </c>
      <c r="B3366" s="3" t="str">
        <f t="shared" si="62"/>
        <v>France - HCP Survey Email - June 2025</v>
      </c>
      <c r="C3366" s="3" t="str">
        <f>HYPERLINK("https://otsuka-europe-crm.veevavault.com/ui/#object/sent_email__v/VBLZ025E82GNPSQ", "SE-000275101")</f>
        <v>SE-000275101</v>
      </c>
      <c r="D3366" s="4" t="s">
        <v>11</v>
      </c>
      <c r="E3366" s="5">
        <v>0</v>
      </c>
      <c r="F3366" s="5">
        <v>0</v>
      </c>
      <c r="G3366" s="5">
        <v>0</v>
      </c>
      <c r="H3366" s="4" t="s">
        <v>11</v>
      </c>
      <c r="I3366" s="5">
        <v>0</v>
      </c>
      <c r="J3366" s="4">
        <v>45916.294907407406</v>
      </c>
    </row>
    <row r="3367" spans="1:10" x14ac:dyDescent="0.2">
      <c r="A3367" s="2" t="s">
        <v>10</v>
      </c>
      <c r="B3367" s="3" t="str">
        <f t="shared" si="62"/>
        <v>France - HCP Survey Email - June 2025</v>
      </c>
      <c r="C3367" s="3" t="str">
        <f>HYPERLINK("https://otsuka-europe-crm.veevavault.com/ui/#object/sent_email__v/VBLZ025E82GNPSR", "SE-000275102")</f>
        <v>SE-000275102</v>
      </c>
      <c r="D3367" s="4" t="s">
        <v>11</v>
      </c>
      <c r="E3367" s="5">
        <v>0</v>
      </c>
      <c r="F3367" s="5">
        <v>0</v>
      </c>
      <c r="G3367" s="5">
        <v>0</v>
      </c>
      <c r="H3367" s="4" t="s">
        <v>11</v>
      </c>
      <c r="I3367" s="5">
        <v>0</v>
      </c>
      <c r="J3367" s="4">
        <v>45916.294317129628</v>
      </c>
    </row>
    <row r="3368" spans="1:10" x14ac:dyDescent="0.2">
      <c r="A3368" s="2" t="s">
        <v>10</v>
      </c>
      <c r="B3368" s="3" t="str">
        <f t="shared" si="62"/>
        <v>France - HCP Survey Email - June 2025</v>
      </c>
      <c r="C3368" s="3" t="str">
        <f>HYPERLINK("https://otsuka-europe-crm.veevavault.com/ui/#object/sent_email__v/VBLZ025E82GNPSS", "SE-000275103")</f>
        <v>SE-000275103</v>
      </c>
      <c r="D3368" s="4">
        <v>45916.310347222221</v>
      </c>
      <c r="E3368" s="5">
        <v>1</v>
      </c>
      <c r="F3368" s="5">
        <v>1</v>
      </c>
      <c r="G3368" s="5">
        <v>0</v>
      </c>
      <c r="H3368" s="4" t="s">
        <v>11</v>
      </c>
      <c r="I3368" s="5">
        <v>0</v>
      </c>
      <c r="J3368" s="4">
        <v>45916.294537037036</v>
      </c>
    </row>
    <row r="3369" spans="1:10" x14ac:dyDescent="0.2">
      <c r="A3369" s="2" t="s">
        <v>10</v>
      </c>
      <c r="B3369" s="3" t="str">
        <f t="shared" si="62"/>
        <v>France - HCP Survey Email - June 2025</v>
      </c>
      <c r="C3369" s="3" t="str">
        <f>HYPERLINK("https://otsuka-europe-crm.veevavault.com/ui/#object/sent_email__v/VBLZ025E82GNPST", "SE-000275104")</f>
        <v>SE-000275104</v>
      </c>
      <c r="D3369" s="4" t="s">
        <v>11</v>
      </c>
      <c r="E3369" s="5">
        <v>0</v>
      </c>
      <c r="F3369" s="5">
        <v>0</v>
      </c>
      <c r="G3369" s="5">
        <v>0</v>
      </c>
      <c r="H3369" s="4" t="s">
        <v>11</v>
      </c>
      <c r="I3369" s="5">
        <v>0</v>
      </c>
      <c r="J3369" s="4">
        <v>45916.294687499998</v>
      </c>
    </row>
    <row r="3370" spans="1:10" x14ac:dyDescent="0.2">
      <c r="A3370" s="2" t="s">
        <v>10</v>
      </c>
      <c r="B3370" s="3" t="str">
        <f t="shared" si="62"/>
        <v>France - HCP Survey Email - June 2025</v>
      </c>
      <c r="C3370" s="3" t="str">
        <f>HYPERLINK("https://otsuka-europe-crm.veevavault.com/ui/#object/sent_email__v/VBLZ025E82GNPSU", "SE-000275105")</f>
        <v>SE-000275105</v>
      </c>
      <c r="D3370" s="4">
        <v>45916.335925925923</v>
      </c>
      <c r="E3370" s="5">
        <v>1</v>
      </c>
      <c r="F3370" s="5">
        <v>1</v>
      </c>
      <c r="G3370" s="5">
        <v>1</v>
      </c>
      <c r="H3370" s="4">
        <v>45916.335925925923</v>
      </c>
      <c r="I3370" s="5">
        <v>1</v>
      </c>
      <c r="J3370" s="4">
        <v>45916.294999999998</v>
      </c>
    </row>
    <row r="3371" spans="1:10" x14ac:dyDescent="0.2">
      <c r="A3371" s="2" t="s">
        <v>10</v>
      </c>
      <c r="B3371" s="3" t="str">
        <f t="shared" si="62"/>
        <v>France - HCP Survey Email - June 2025</v>
      </c>
      <c r="C3371" s="3" t="str">
        <f>HYPERLINK("https://otsuka-europe-crm.veevavault.com/ui/#object/sent_email__v/VBLZ025E82GNPSV", "SE-000275106")</f>
        <v>SE-000275106</v>
      </c>
      <c r="D3371" s="4" t="s">
        <v>11</v>
      </c>
      <c r="E3371" s="5">
        <v>0</v>
      </c>
      <c r="F3371" s="5">
        <v>0</v>
      </c>
      <c r="G3371" s="5">
        <v>0</v>
      </c>
      <c r="H3371" s="4" t="s">
        <v>11</v>
      </c>
      <c r="I3371" s="5">
        <v>0</v>
      </c>
      <c r="J3371" s="4">
        <v>45916.294386574074</v>
      </c>
    </row>
    <row r="3372" spans="1:10" x14ac:dyDescent="0.2">
      <c r="A3372" s="2" t="s">
        <v>10</v>
      </c>
      <c r="B3372" s="3" t="str">
        <f t="shared" si="62"/>
        <v>France - HCP Survey Email - June 2025</v>
      </c>
      <c r="C3372" s="3" t="str">
        <f>HYPERLINK("https://otsuka-europe-crm.veevavault.com/ui/#object/sent_email__v/VBLZ025E82GNPSW", "SE-000275107")</f>
        <v>SE-000275107</v>
      </c>
      <c r="D3372" s="4">
        <v>45916.29488425926</v>
      </c>
      <c r="E3372" s="5">
        <v>1</v>
      </c>
      <c r="F3372" s="5">
        <v>2</v>
      </c>
      <c r="G3372" s="5">
        <v>1</v>
      </c>
      <c r="H3372" s="4">
        <v>45916.29488425926</v>
      </c>
      <c r="I3372" s="5">
        <v>2</v>
      </c>
      <c r="J3372" s="4">
        <v>45916.294687499998</v>
      </c>
    </row>
    <row r="3373" spans="1:10" x14ac:dyDescent="0.2">
      <c r="A3373" s="2" t="s">
        <v>10</v>
      </c>
      <c r="B3373" s="3" t="str">
        <f t="shared" si="62"/>
        <v>France - HCP Survey Email - June 2025</v>
      </c>
      <c r="C3373" s="3" t="str">
        <f>HYPERLINK("https://otsuka-europe-crm.veevavault.com/ui/#object/sent_email__v/VBLZ025E82GNPSX", "SE-000275108")</f>
        <v>SE-000275108</v>
      </c>
      <c r="D3373" s="4" t="s">
        <v>11</v>
      </c>
      <c r="E3373" s="5">
        <v>0</v>
      </c>
      <c r="F3373" s="5">
        <v>0</v>
      </c>
      <c r="G3373" s="5">
        <v>0</v>
      </c>
      <c r="H3373" s="4" t="s">
        <v>11</v>
      </c>
      <c r="I3373" s="5">
        <v>0</v>
      </c>
      <c r="J3373" s="4">
        <v>45916.294872685183</v>
      </c>
    </row>
    <row r="3374" spans="1:10" x14ac:dyDescent="0.2">
      <c r="A3374" s="2" t="s">
        <v>10</v>
      </c>
      <c r="B3374" s="3" t="str">
        <f t="shared" si="62"/>
        <v>France - HCP Survey Email - June 2025</v>
      </c>
      <c r="C3374" s="3" t="str">
        <f>HYPERLINK("https://otsuka-europe-crm.veevavault.com/ui/#object/sent_email__v/VBLZ025E82GNPSY", "SE-000275109")</f>
        <v>SE-000275109</v>
      </c>
      <c r="D3374" s="4" t="s">
        <v>11</v>
      </c>
      <c r="E3374" s="5">
        <v>0</v>
      </c>
      <c r="F3374" s="5">
        <v>0</v>
      </c>
      <c r="G3374" s="5">
        <v>0</v>
      </c>
      <c r="H3374" s="4" t="s">
        <v>11</v>
      </c>
      <c r="I3374" s="5">
        <v>0</v>
      </c>
      <c r="J3374" s="4">
        <v>45916.294236111113</v>
      </c>
    </row>
    <row r="3375" spans="1:10" x14ac:dyDescent="0.2">
      <c r="A3375" s="2" t="s">
        <v>10</v>
      </c>
      <c r="B3375" s="3" t="str">
        <f t="shared" si="62"/>
        <v>France - HCP Survey Email - June 2025</v>
      </c>
      <c r="C3375" s="3" t="str">
        <f>HYPERLINK("https://otsuka-europe-crm.veevavault.com/ui/#object/sent_email__v/VBLZ025E82GNPSZ", "SE-000275110")</f>
        <v>SE-000275110</v>
      </c>
      <c r="D3375" s="4" t="s">
        <v>11</v>
      </c>
      <c r="E3375" s="5">
        <v>0</v>
      </c>
      <c r="F3375" s="5">
        <v>0</v>
      </c>
      <c r="G3375" s="5">
        <v>0</v>
      </c>
      <c r="H3375" s="4" t="s">
        <v>11</v>
      </c>
      <c r="I3375" s="5">
        <v>0</v>
      </c>
      <c r="J3375" s="4">
        <v>45916.29446759259</v>
      </c>
    </row>
    <row r="3376" spans="1:10" x14ac:dyDescent="0.2">
      <c r="A3376" s="2" t="s">
        <v>10</v>
      </c>
      <c r="B3376" s="3" t="str">
        <f t="shared" si="62"/>
        <v>France - HCP Survey Email - June 2025</v>
      </c>
      <c r="C3376" s="3" t="str">
        <f>HYPERLINK("https://otsuka-europe-crm.veevavault.com/ui/#object/sent_email__v/VBLZ025E82GNPT0", "SE-000275111")</f>
        <v>SE-000275111</v>
      </c>
      <c r="D3376" s="4">
        <v>45916.294918981483</v>
      </c>
      <c r="E3376" s="5">
        <v>1</v>
      </c>
      <c r="F3376" s="5">
        <v>1</v>
      </c>
      <c r="G3376" s="5">
        <v>1</v>
      </c>
      <c r="H3376" s="4">
        <v>45916.294918981483</v>
      </c>
      <c r="I3376" s="5">
        <v>1</v>
      </c>
      <c r="J3376" s="4">
        <v>45916.294641203705</v>
      </c>
    </row>
    <row r="3377" spans="1:10" x14ac:dyDescent="0.2">
      <c r="A3377" s="2" t="s">
        <v>10</v>
      </c>
      <c r="B3377" s="3" t="str">
        <f t="shared" si="62"/>
        <v>France - HCP Survey Email - June 2025</v>
      </c>
      <c r="C3377" s="3" t="str">
        <f>HYPERLINK("https://otsuka-europe-crm.veevavault.com/ui/#object/sent_email__v/VBLZ025E82GNPT1", "SE-000275112")</f>
        <v>SE-000275112</v>
      </c>
      <c r="D3377" s="4" t="s">
        <v>11</v>
      </c>
      <c r="E3377" s="5">
        <v>0</v>
      </c>
      <c r="F3377" s="5">
        <v>0</v>
      </c>
      <c r="G3377" s="5">
        <v>0</v>
      </c>
      <c r="H3377" s="4" t="s">
        <v>11</v>
      </c>
      <c r="I3377" s="5">
        <v>0</v>
      </c>
      <c r="J3377" s="4">
        <v>45916.294803240744</v>
      </c>
    </row>
    <row r="3378" spans="1:10" x14ac:dyDescent="0.2">
      <c r="A3378" s="2" t="s">
        <v>10</v>
      </c>
      <c r="B3378" s="3" t="str">
        <f t="shared" si="62"/>
        <v>France - HCP Survey Email - June 2025</v>
      </c>
      <c r="C3378" s="3" t="str">
        <f>HYPERLINK("https://otsuka-europe-crm.veevavault.com/ui/#object/sent_email__v/VBLZ025E82GNPT2", "SE-000275113")</f>
        <v>SE-000275113</v>
      </c>
      <c r="D3378" s="4" t="s">
        <v>11</v>
      </c>
      <c r="E3378" s="5">
        <v>0</v>
      </c>
      <c r="F3378" s="5">
        <v>0</v>
      </c>
      <c r="G3378" s="5">
        <v>0</v>
      </c>
      <c r="H3378" s="4" t="s">
        <v>11</v>
      </c>
      <c r="I3378" s="5">
        <v>0</v>
      </c>
      <c r="J3378" s="4">
        <v>45916.294270833336</v>
      </c>
    </row>
    <row r="3379" spans="1:10" x14ac:dyDescent="0.2">
      <c r="A3379" s="2" t="s">
        <v>10</v>
      </c>
      <c r="B3379" s="3" t="str">
        <f t="shared" si="62"/>
        <v>France - HCP Survey Email - June 2025</v>
      </c>
      <c r="C3379" s="3" t="str">
        <f>HYPERLINK("https://otsuka-europe-crm.veevavault.com/ui/#object/sent_email__v/VBLZ025E82GNPT3", "SE-000275114")</f>
        <v>SE-000275114</v>
      </c>
      <c r="D3379" s="4">
        <v>45916.311122685183</v>
      </c>
      <c r="E3379" s="5">
        <v>1</v>
      </c>
      <c r="F3379" s="5">
        <v>1</v>
      </c>
      <c r="G3379" s="5">
        <v>0</v>
      </c>
      <c r="H3379" s="4" t="s">
        <v>11</v>
      </c>
      <c r="I3379" s="5">
        <v>0</v>
      </c>
      <c r="J3379" s="4">
        <v>45916.294351851851</v>
      </c>
    </row>
    <row r="3380" spans="1:10" x14ac:dyDescent="0.2">
      <c r="A3380" s="2" t="s">
        <v>10</v>
      </c>
      <c r="B3380" s="3" t="str">
        <f t="shared" si="62"/>
        <v>France - HCP Survey Email - June 2025</v>
      </c>
      <c r="C3380" s="3" t="str">
        <f>HYPERLINK("https://otsuka-europe-crm.veevavault.com/ui/#object/sent_email__v/VBLZ025E82GNPT4", "SE-000275115")</f>
        <v>SE-000275115</v>
      </c>
      <c r="D3380" s="4" t="s">
        <v>11</v>
      </c>
      <c r="E3380" s="5">
        <v>0</v>
      </c>
      <c r="F3380" s="5">
        <v>0</v>
      </c>
      <c r="G3380" s="5">
        <v>0</v>
      </c>
      <c r="H3380" s="4" t="s">
        <v>11</v>
      </c>
      <c r="I3380" s="5">
        <v>0</v>
      </c>
      <c r="J3380" s="4">
        <v>45916.294756944444</v>
      </c>
    </row>
    <row r="3381" spans="1:10" x14ac:dyDescent="0.2">
      <c r="A3381" s="2" t="s">
        <v>10</v>
      </c>
      <c r="B3381" s="3" t="str">
        <f t="shared" si="62"/>
        <v>France - HCP Survey Email - June 2025</v>
      </c>
      <c r="C3381" s="3" t="str">
        <f>HYPERLINK("https://otsuka-europe-crm.veevavault.com/ui/#object/sent_email__v/VBLZ025E82GNPT5", "SE-000275116")</f>
        <v>SE-000275116</v>
      </c>
      <c r="D3381" s="4" t="s">
        <v>11</v>
      </c>
      <c r="E3381" s="5">
        <v>0</v>
      </c>
      <c r="F3381" s="5">
        <v>0</v>
      </c>
      <c r="G3381" s="5">
        <v>0</v>
      </c>
      <c r="H3381" s="4" t="s">
        <v>11</v>
      </c>
      <c r="I3381" s="5">
        <v>0</v>
      </c>
      <c r="J3381" s="4">
        <v>45916.295138888891</v>
      </c>
    </row>
    <row r="3382" spans="1:10" x14ac:dyDescent="0.2">
      <c r="A3382" s="2" t="s">
        <v>10</v>
      </c>
      <c r="B3382" s="3" t="str">
        <f t="shared" si="62"/>
        <v>France - HCP Survey Email - June 2025</v>
      </c>
      <c r="C3382" s="3" t="str">
        <f>HYPERLINK("https://otsuka-europe-crm.veevavault.com/ui/#object/sent_email__v/VBLZ025E82GNPT6", "SE-000275117")</f>
        <v>SE-000275117</v>
      </c>
      <c r="D3382" s="4">
        <v>45916.294386574074</v>
      </c>
      <c r="E3382" s="5">
        <v>1</v>
      </c>
      <c r="F3382" s="5">
        <v>1</v>
      </c>
      <c r="G3382" s="5">
        <v>1</v>
      </c>
      <c r="H3382" s="4">
        <v>45916.294386574074</v>
      </c>
      <c r="I3382" s="5">
        <v>1</v>
      </c>
      <c r="J3382" s="4">
        <v>45916.294305555559</v>
      </c>
    </row>
    <row r="3383" spans="1:10" x14ac:dyDescent="0.2">
      <c r="A3383" s="2" t="s">
        <v>10</v>
      </c>
      <c r="B3383" s="3" t="str">
        <f t="shared" si="62"/>
        <v>France - HCP Survey Email - June 2025</v>
      </c>
      <c r="C3383" s="3" t="str">
        <f>HYPERLINK("https://otsuka-europe-crm.veevavault.com/ui/#object/sent_email__v/VBLZ025E82GNPT7", "SE-000275118")</f>
        <v>SE-000275118</v>
      </c>
      <c r="D3383" s="4" t="s">
        <v>11</v>
      </c>
      <c r="E3383" s="5">
        <v>0</v>
      </c>
      <c r="F3383" s="5">
        <v>0</v>
      </c>
      <c r="G3383" s="5">
        <v>0</v>
      </c>
      <c r="H3383" s="4" t="s">
        <v>11</v>
      </c>
      <c r="I3383" s="5">
        <v>0</v>
      </c>
      <c r="J3383" s="4">
        <v>45916.294456018521</v>
      </c>
    </row>
    <row r="3384" spans="1:10" x14ac:dyDescent="0.2">
      <c r="A3384" s="2" t="s">
        <v>10</v>
      </c>
      <c r="B3384" s="3" t="str">
        <f t="shared" si="62"/>
        <v>France - HCP Survey Email - June 2025</v>
      </c>
      <c r="C3384" s="3" t="str">
        <f>HYPERLINK("https://otsuka-europe-crm.veevavault.com/ui/#object/sent_email__v/VBLZ025E82GNPT8", "SE-000275119")</f>
        <v>SE-000275119</v>
      </c>
      <c r="D3384" s="4" t="s">
        <v>11</v>
      </c>
      <c r="E3384" s="5">
        <v>0</v>
      </c>
      <c r="F3384" s="5">
        <v>0</v>
      </c>
      <c r="G3384" s="5">
        <v>0</v>
      </c>
      <c r="H3384" s="4" t="s">
        <v>11</v>
      </c>
      <c r="I3384" s="5">
        <v>0</v>
      </c>
      <c r="J3384" s="4">
        <v>45916.294699074075</v>
      </c>
    </row>
    <row r="3385" spans="1:10" x14ac:dyDescent="0.2">
      <c r="A3385" s="2" t="s">
        <v>10</v>
      </c>
      <c r="B3385" s="3" t="str">
        <f t="shared" si="62"/>
        <v>France - HCP Survey Email - June 2025</v>
      </c>
      <c r="C3385" s="3" t="str">
        <f>HYPERLINK("https://otsuka-europe-crm.veevavault.com/ui/#object/sent_email__v/VBLZ025E82GNPT9", "SE-000275120")</f>
        <v>SE-000275120</v>
      </c>
      <c r="D3385" s="4" t="s">
        <v>11</v>
      </c>
      <c r="E3385" s="5">
        <v>0</v>
      </c>
      <c r="F3385" s="5">
        <v>0</v>
      </c>
      <c r="G3385" s="5">
        <v>0</v>
      </c>
      <c r="H3385" s="4" t="s">
        <v>11</v>
      </c>
      <c r="I3385" s="5">
        <v>0</v>
      </c>
      <c r="J3385" s="4">
        <v>45916.294236111113</v>
      </c>
    </row>
    <row r="3386" spans="1:10" x14ac:dyDescent="0.2">
      <c r="A3386" s="2" t="s">
        <v>10</v>
      </c>
      <c r="B3386" s="3" t="str">
        <f t="shared" si="62"/>
        <v>France - HCP Survey Email - June 2025</v>
      </c>
      <c r="C3386" s="3" t="str">
        <f>HYPERLINK("https://otsuka-europe-crm.veevavault.com/ui/#object/sent_email__v/VBLZ025E82GNPTA", "SE-000275121")</f>
        <v>SE-000275121</v>
      </c>
      <c r="D3386" s="4" t="s">
        <v>11</v>
      </c>
      <c r="E3386" s="5">
        <v>0</v>
      </c>
      <c r="F3386" s="5">
        <v>0</v>
      </c>
      <c r="G3386" s="5">
        <v>0</v>
      </c>
      <c r="H3386" s="4" t="s">
        <v>11</v>
      </c>
      <c r="I3386" s="5">
        <v>0</v>
      </c>
      <c r="J3386" s="4">
        <v>45916.294409722221</v>
      </c>
    </row>
    <row r="3387" spans="1:10" x14ac:dyDescent="0.2">
      <c r="A3387" s="2" t="s">
        <v>10</v>
      </c>
      <c r="B3387" s="3" t="str">
        <f t="shared" si="62"/>
        <v>France - HCP Survey Email - June 2025</v>
      </c>
      <c r="C3387" s="3" t="str">
        <f>HYPERLINK("https://otsuka-europe-crm.veevavault.com/ui/#object/sent_email__v/VBLZ025E82GNPTB", "SE-000275122")</f>
        <v>SE-000275122</v>
      </c>
      <c r="D3387" s="4">
        <v>45916.856365740743</v>
      </c>
      <c r="E3387" s="5">
        <v>1</v>
      </c>
      <c r="F3387" s="5">
        <v>1</v>
      </c>
      <c r="G3387" s="5">
        <v>0</v>
      </c>
      <c r="H3387" s="4" t="s">
        <v>11</v>
      </c>
      <c r="I3387" s="5">
        <v>0</v>
      </c>
      <c r="J3387" s="4">
        <v>45916.294745370367</v>
      </c>
    </row>
    <row r="3388" spans="1:10" x14ac:dyDescent="0.2">
      <c r="A3388" s="2" t="s">
        <v>10</v>
      </c>
      <c r="B3388" s="3" t="str">
        <f t="shared" si="62"/>
        <v>France - HCP Survey Email - June 2025</v>
      </c>
      <c r="C3388" s="3" t="str">
        <f>HYPERLINK("https://otsuka-europe-crm.veevavault.com/ui/#object/sent_email__v/VBLZ025E82GNPTC", "SE-000275123")</f>
        <v>SE-000275123</v>
      </c>
      <c r="D3388" s="4" t="s">
        <v>11</v>
      </c>
      <c r="E3388" s="5">
        <v>0</v>
      </c>
      <c r="F3388" s="5">
        <v>0</v>
      </c>
      <c r="G3388" s="5">
        <v>0</v>
      </c>
      <c r="H3388" s="4" t="s">
        <v>11</v>
      </c>
      <c r="I3388" s="5">
        <v>0</v>
      </c>
      <c r="J3388" s="4">
        <v>45916.294791666667</v>
      </c>
    </row>
    <row r="3389" spans="1:10" x14ac:dyDescent="0.2">
      <c r="A3389" s="2" t="s">
        <v>10</v>
      </c>
      <c r="B3389" s="3" t="str">
        <f t="shared" si="62"/>
        <v>France - HCP Survey Email - June 2025</v>
      </c>
      <c r="C3389" s="3" t="str">
        <f>HYPERLINK("https://otsuka-europe-crm.veevavault.com/ui/#object/sent_email__v/VBLZ025E82GNPTD", "SE-000275124")</f>
        <v>SE-000275124</v>
      </c>
      <c r="D3389" s="4" t="s">
        <v>11</v>
      </c>
      <c r="E3389" s="5">
        <v>0</v>
      </c>
      <c r="F3389" s="5">
        <v>0</v>
      </c>
      <c r="G3389" s="5">
        <v>0</v>
      </c>
      <c r="H3389" s="4" t="s">
        <v>11</v>
      </c>
      <c r="I3389" s="5">
        <v>0</v>
      </c>
      <c r="J3389" s="4">
        <v>45916.294189814813</v>
      </c>
    </row>
    <row r="3390" spans="1:10" x14ac:dyDescent="0.2">
      <c r="A3390" s="2" t="s">
        <v>10</v>
      </c>
      <c r="B3390" s="3" t="str">
        <f t="shared" si="62"/>
        <v>France - HCP Survey Email - June 2025</v>
      </c>
      <c r="C3390" s="3" t="str">
        <f>HYPERLINK("https://otsuka-europe-crm.veevavault.com/ui/#object/sent_email__v/VBLZ025E82GNPTE", "SE-000275125")</f>
        <v>SE-000275125</v>
      </c>
      <c r="D3390" s="4" t="s">
        <v>11</v>
      </c>
      <c r="E3390" s="5">
        <v>0</v>
      </c>
      <c r="F3390" s="5">
        <v>0</v>
      </c>
      <c r="G3390" s="5">
        <v>0</v>
      </c>
      <c r="H3390" s="4" t="s">
        <v>11</v>
      </c>
      <c r="I3390" s="5">
        <v>0</v>
      </c>
      <c r="J3390" s="4">
        <v>45916.294398148151</v>
      </c>
    </row>
    <row r="3391" spans="1:10" x14ac:dyDescent="0.2">
      <c r="A3391" s="2" t="s">
        <v>10</v>
      </c>
      <c r="B3391" s="3" t="str">
        <f t="shared" si="62"/>
        <v>France - HCP Survey Email - June 2025</v>
      </c>
      <c r="C3391" s="3" t="str">
        <f>HYPERLINK("https://otsuka-europe-crm.veevavault.com/ui/#object/sent_email__v/VBLZ025E82GNPTF", "SE-000275126")</f>
        <v>SE-000275126</v>
      </c>
      <c r="D3391" s="4" t="s">
        <v>11</v>
      </c>
      <c r="E3391" s="5">
        <v>0</v>
      </c>
      <c r="F3391" s="5">
        <v>0</v>
      </c>
      <c r="G3391" s="5">
        <v>0</v>
      </c>
      <c r="H3391" s="4" t="s">
        <v>11</v>
      </c>
      <c r="I3391" s="5">
        <v>0</v>
      </c>
      <c r="J3391" s="4">
        <v>45916.294849537036</v>
      </c>
    </row>
    <row r="3392" spans="1:10" x14ac:dyDescent="0.2">
      <c r="A3392" s="2" t="s">
        <v>10</v>
      </c>
      <c r="B3392" s="3" t="str">
        <f t="shared" si="62"/>
        <v>France - HCP Survey Email - June 2025</v>
      </c>
      <c r="C3392" s="3" t="str">
        <f>HYPERLINK("https://otsuka-europe-crm.veevavault.com/ui/#object/sent_email__v/VBLZ025E82GNPTG", "SE-000275127")</f>
        <v>SE-000275127</v>
      </c>
      <c r="D3392" s="4" t="s">
        <v>11</v>
      </c>
      <c r="E3392" s="5">
        <v>0</v>
      </c>
      <c r="F3392" s="5">
        <v>0</v>
      </c>
      <c r="G3392" s="5">
        <v>0</v>
      </c>
      <c r="H3392" s="4" t="s">
        <v>11</v>
      </c>
      <c r="I3392" s="5">
        <v>0</v>
      </c>
      <c r="J3392" s="4">
        <v>45916.295081018521</v>
      </c>
    </row>
    <row r="3393" spans="1:10" x14ac:dyDescent="0.2">
      <c r="A3393" s="2" t="s">
        <v>10</v>
      </c>
      <c r="B3393" s="3" t="str">
        <f t="shared" ref="B3393:B3456" si="63">HYPERLINK("https://otsuka-europe-crm.veevavault.com/ui/#object/approved_document__v/V5OZ025E82TMV97", "France - HCP Survey Email - June 2025")</f>
        <v>France - HCP Survey Email - June 2025</v>
      </c>
      <c r="C3393" s="3" t="str">
        <f>HYPERLINK("https://otsuka-europe-crm.veevavault.com/ui/#object/sent_email__v/VBLZ025E82GNPTH", "SE-000275128")</f>
        <v>SE-000275128</v>
      </c>
      <c r="D3393" s="4" t="s">
        <v>11</v>
      </c>
      <c r="E3393" s="5">
        <v>0</v>
      </c>
      <c r="F3393" s="5">
        <v>0</v>
      </c>
      <c r="G3393" s="5">
        <v>0</v>
      </c>
      <c r="H3393" s="4" t="s">
        <v>11</v>
      </c>
      <c r="I3393" s="5">
        <v>0</v>
      </c>
      <c r="J3393" s="4">
        <v>45916.294270833336</v>
      </c>
    </row>
    <row r="3394" spans="1:10" x14ac:dyDescent="0.2">
      <c r="A3394" s="2" t="s">
        <v>10</v>
      </c>
      <c r="B3394" s="3" t="str">
        <f t="shared" si="63"/>
        <v>France - HCP Survey Email - June 2025</v>
      </c>
      <c r="C3394" s="3" t="str">
        <f>HYPERLINK("https://otsuka-europe-crm.veevavault.com/ui/#object/sent_email__v/VBLZ025E82GNPTI", "SE-000275129")</f>
        <v>SE-000275129</v>
      </c>
      <c r="D3394" s="4" t="s">
        <v>11</v>
      </c>
      <c r="E3394" s="5">
        <v>0</v>
      </c>
      <c r="F3394" s="5">
        <v>0</v>
      </c>
      <c r="G3394" s="5">
        <v>0</v>
      </c>
      <c r="H3394" s="4" t="s">
        <v>11</v>
      </c>
      <c r="I3394" s="5">
        <v>0</v>
      </c>
      <c r="J3394" s="4">
        <v>45916.294479166667</v>
      </c>
    </row>
    <row r="3395" spans="1:10" x14ac:dyDescent="0.2">
      <c r="A3395" s="2" t="s">
        <v>10</v>
      </c>
      <c r="B3395" s="3" t="str">
        <f t="shared" si="63"/>
        <v>France - HCP Survey Email - June 2025</v>
      </c>
      <c r="C3395" s="3" t="str">
        <f>HYPERLINK("https://otsuka-europe-crm.veevavault.com/ui/#object/sent_email__v/VBLZ025E82GNPTJ", "SE-000275130")</f>
        <v>SE-000275130</v>
      </c>
      <c r="D3395" s="4" t="s">
        <v>11</v>
      </c>
      <c r="E3395" s="5">
        <v>0</v>
      </c>
      <c r="F3395" s="5">
        <v>0</v>
      </c>
      <c r="G3395" s="5">
        <v>0</v>
      </c>
      <c r="H3395" s="4" t="s">
        <v>11</v>
      </c>
      <c r="I3395" s="5">
        <v>0</v>
      </c>
      <c r="J3395" s="4">
        <v>45916.294756944444</v>
      </c>
    </row>
    <row r="3396" spans="1:10" x14ac:dyDescent="0.2">
      <c r="A3396" s="2" t="s">
        <v>10</v>
      </c>
      <c r="B3396" s="3" t="str">
        <f t="shared" si="63"/>
        <v>France - HCP Survey Email - June 2025</v>
      </c>
      <c r="C3396" s="3" t="str">
        <f>HYPERLINK("https://otsuka-europe-crm.veevavault.com/ui/#object/sent_email__v/VBLZ025E82GNPTK", "SE-000275131")</f>
        <v>SE-000275131</v>
      </c>
      <c r="D3396" s="4" t="s">
        <v>11</v>
      </c>
      <c r="E3396" s="5">
        <v>0</v>
      </c>
      <c r="F3396" s="5">
        <v>0</v>
      </c>
      <c r="G3396" s="5">
        <v>0</v>
      </c>
      <c r="H3396" s="4" t="s">
        <v>11</v>
      </c>
      <c r="I3396" s="5">
        <v>0</v>
      </c>
      <c r="J3396" s="4">
        <v>45916.294236111113</v>
      </c>
    </row>
    <row r="3397" spans="1:10" x14ac:dyDescent="0.2">
      <c r="A3397" s="2" t="s">
        <v>10</v>
      </c>
      <c r="B3397" s="3" t="str">
        <f t="shared" si="63"/>
        <v>France - HCP Survey Email - June 2025</v>
      </c>
      <c r="C3397" s="3" t="str">
        <f>HYPERLINK("https://otsuka-europe-crm.veevavault.com/ui/#object/sent_email__v/VBLZ025E82GNPTL", "SE-000275132")</f>
        <v>SE-000275132</v>
      </c>
      <c r="D3397" s="4" t="s">
        <v>11</v>
      </c>
      <c r="E3397" s="5">
        <v>0</v>
      </c>
      <c r="F3397" s="5">
        <v>0</v>
      </c>
      <c r="G3397" s="5">
        <v>0</v>
      </c>
      <c r="H3397" s="4" t="s">
        <v>11</v>
      </c>
      <c r="I3397" s="5">
        <v>0</v>
      </c>
      <c r="J3397" s="4">
        <v>45916.294421296298</v>
      </c>
    </row>
    <row r="3398" spans="1:10" x14ac:dyDescent="0.2">
      <c r="A3398" s="2" t="s">
        <v>10</v>
      </c>
      <c r="B3398" s="3" t="str">
        <f t="shared" si="63"/>
        <v>France - HCP Survey Email - June 2025</v>
      </c>
      <c r="C3398" s="3" t="str">
        <f>HYPERLINK("https://otsuka-europe-crm.veevavault.com/ui/#object/sent_email__v/VBLZ025E82GNPTM", "SE-000275133")</f>
        <v>SE-000275133</v>
      </c>
      <c r="D3398" s="4" t="s">
        <v>11</v>
      </c>
      <c r="E3398" s="5">
        <v>0</v>
      </c>
      <c r="F3398" s="5">
        <v>0</v>
      </c>
      <c r="G3398" s="5">
        <v>0</v>
      </c>
      <c r="H3398" s="4" t="s">
        <v>11</v>
      </c>
      <c r="I3398" s="5">
        <v>0</v>
      </c>
      <c r="J3398" s="4">
        <v>45916.294733796298</v>
      </c>
    </row>
    <row r="3399" spans="1:10" x14ac:dyDescent="0.2">
      <c r="A3399" s="2" t="s">
        <v>10</v>
      </c>
      <c r="B3399" s="3" t="str">
        <f t="shared" si="63"/>
        <v>France - HCP Survey Email - June 2025</v>
      </c>
      <c r="C3399" s="3" t="str">
        <f>HYPERLINK("https://otsuka-europe-crm.veevavault.com/ui/#object/sent_email__v/VBLZ025E82GNPTN", "SE-000275134")</f>
        <v>SE-000275134</v>
      </c>
      <c r="D3399" s="4" t="s">
        <v>11</v>
      </c>
      <c r="E3399" s="5">
        <v>0</v>
      </c>
      <c r="F3399" s="5">
        <v>0</v>
      </c>
      <c r="G3399" s="5">
        <v>0</v>
      </c>
      <c r="H3399" s="4" t="s">
        <v>11</v>
      </c>
      <c r="I3399" s="5">
        <v>0</v>
      </c>
      <c r="J3399" s="4">
        <v>45916.294872685183</v>
      </c>
    </row>
    <row r="3400" spans="1:10" x14ac:dyDescent="0.2">
      <c r="A3400" s="2" t="s">
        <v>10</v>
      </c>
      <c r="B3400" s="3" t="str">
        <f t="shared" si="63"/>
        <v>France - HCP Survey Email - June 2025</v>
      </c>
      <c r="C3400" s="3" t="str">
        <f>HYPERLINK("https://otsuka-europe-crm.veevavault.com/ui/#object/sent_email__v/VBLZ025E82GNPTO", "SE-000275135")</f>
        <v>SE-000275135</v>
      </c>
      <c r="D3400" s="4" t="s">
        <v>11</v>
      </c>
      <c r="E3400" s="5">
        <v>0</v>
      </c>
      <c r="F3400" s="5">
        <v>0</v>
      </c>
      <c r="G3400" s="5">
        <v>0</v>
      </c>
      <c r="H3400" s="4" t="s">
        <v>11</v>
      </c>
      <c r="I3400" s="5">
        <v>0</v>
      </c>
      <c r="J3400" s="4">
        <v>45916.294687499998</v>
      </c>
    </row>
    <row r="3401" spans="1:10" x14ac:dyDescent="0.2">
      <c r="A3401" s="2" t="s">
        <v>10</v>
      </c>
      <c r="B3401" s="3" t="str">
        <f t="shared" si="63"/>
        <v>France - HCP Survey Email - June 2025</v>
      </c>
      <c r="C3401" s="3" t="str">
        <f>HYPERLINK("https://otsuka-europe-crm.veevavault.com/ui/#object/sent_email__v/VBLZ025E82GNPTP", "SE-000275136")</f>
        <v>SE-000275136</v>
      </c>
      <c r="D3401" s="4" t="s">
        <v>11</v>
      </c>
      <c r="E3401" s="5">
        <v>0</v>
      </c>
      <c r="F3401" s="5">
        <v>0</v>
      </c>
      <c r="G3401" s="5">
        <v>0</v>
      </c>
      <c r="H3401" s="4" t="s">
        <v>11</v>
      </c>
      <c r="I3401" s="5">
        <v>0</v>
      </c>
      <c r="J3401" s="4">
        <v>45916.294236111113</v>
      </c>
    </row>
    <row r="3402" spans="1:10" x14ac:dyDescent="0.2">
      <c r="A3402" s="2" t="s">
        <v>10</v>
      </c>
      <c r="B3402" s="3" t="str">
        <f t="shared" si="63"/>
        <v>France - HCP Survey Email - June 2025</v>
      </c>
      <c r="C3402" s="3" t="str">
        <f>HYPERLINK("https://otsuka-europe-crm.veevavault.com/ui/#object/sent_email__v/VBLZ025E82GNPTQ", "SE-000275137")</f>
        <v>SE-000275137</v>
      </c>
      <c r="D3402" s="4" t="s">
        <v>11</v>
      </c>
      <c r="E3402" s="5">
        <v>0</v>
      </c>
      <c r="F3402" s="5">
        <v>0</v>
      </c>
      <c r="G3402" s="5">
        <v>0</v>
      </c>
      <c r="H3402" s="4" t="s">
        <v>11</v>
      </c>
      <c r="I3402" s="5">
        <v>0</v>
      </c>
      <c r="J3402" s="4">
        <v>45916.294432870367</v>
      </c>
    </row>
    <row r="3403" spans="1:10" x14ac:dyDescent="0.2">
      <c r="A3403" s="2" t="s">
        <v>10</v>
      </c>
      <c r="B3403" s="3" t="str">
        <f t="shared" si="63"/>
        <v>France - HCP Survey Email - June 2025</v>
      </c>
      <c r="C3403" s="3" t="str">
        <f>HYPERLINK("https://otsuka-europe-crm.veevavault.com/ui/#object/sent_email__v/VBLZ025E82GNPTR", "SE-000275138")</f>
        <v>SE-000275138</v>
      </c>
      <c r="D3403" s="4" t="s">
        <v>11</v>
      </c>
      <c r="E3403" s="5">
        <v>0</v>
      </c>
      <c r="F3403" s="5">
        <v>0</v>
      </c>
      <c r="G3403" s="5">
        <v>0</v>
      </c>
      <c r="H3403" s="4" t="s">
        <v>11</v>
      </c>
      <c r="I3403" s="5">
        <v>0</v>
      </c>
      <c r="J3403" s="4">
        <v>45916.294629629629</v>
      </c>
    </row>
    <row r="3404" spans="1:10" x14ac:dyDescent="0.2">
      <c r="A3404" s="2" t="s">
        <v>10</v>
      </c>
      <c r="B3404" s="3" t="str">
        <f t="shared" si="63"/>
        <v>France - HCP Survey Email - June 2025</v>
      </c>
      <c r="C3404" s="3" t="str">
        <f>HYPERLINK("https://otsuka-europe-crm.veevavault.com/ui/#object/sent_email__v/VBLZ025E82GNPTS", "SE-000275139")</f>
        <v>SE-000275139</v>
      </c>
      <c r="D3404" s="4">
        <v>45916.295590277776</v>
      </c>
      <c r="E3404" s="5">
        <v>1</v>
      </c>
      <c r="F3404" s="5">
        <v>2</v>
      </c>
      <c r="G3404" s="5">
        <v>1</v>
      </c>
      <c r="H3404" s="4">
        <v>45916.295590277776</v>
      </c>
      <c r="I3404" s="5">
        <v>2</v>
      </c>
      <c r="J3404" s="4">
        <v>45916.29483796296</v>
      </c>
    </row>
    <row r="3405" spans="1:10" x14ac:dyDescent="0.2">
      <c r="A3405" s="2" t="s">
        <v>10</v>
      </c>
      <c r="B3405" s="3" t="str">
        <f t="shared" si="63"/>
        <v>France - HCP Survey Email - June 2025</v>
      </c>
      <c r="C3405" s="3" t="str">
        <f>HYPERLINK("https://otsuka-europe-crm.veevavault.com/ui/#object/sent_email__v/VBLZ025E82GNPTT", "SE-000275140")</f>
        <v>SE-000275140</v>
      </c>
      <c r="D3405" s="4" t="s">
        <v>11</v>
      </c>
      <c r="E3405" s="5">
        <v>0</v>
      </c>
      <c r="F3405" s="5">
        <v>0</v>
      </c>
      <c r="G3405" s="5">
        <v>0</v>
      </c>
      <c r="H3405" s="4" t="s">
        <v>11</v>
      </c>
      <c r="I3405" s="5">
        <v>0</v>
      </c>
      <c r="J3405" s="4">
        <v>45916.294270833336</v>
      </c>
    </row>
    <row r="3406" spans="1:10" x14ac:dyDescent="0.2">
      <c r="A3406" s="2" t="s">
        <v>10</v>
      </c>
      <c r="B3406" s="3" t="str">
        <f t="shared" si="63"/>
        <v>France - HCP Survey Email - June 2025</v>
      </c>
      <c r="C3406" s="3" t="str">
        <f>HYPERLINK("https://otsuka-europe-crm.veevavault.com/ui/#object/sent_email__v/VBLZ025E82GNPTU", "SE-000275141")</f>
        <v>SE-000275141</v>
      </c>
      <c r="D3406" s="4" t="s">
        <v>11</v>
      </c>
      <c r="E3406" s="5">
        <v>0</v>
      </c>
      <c r="F3406" s="5">
        <v>0</v>
      </c>
      <c r="G3406" s="5">
        <v>0</v>
      </c>
      <c r="H3406" s="4" t="s">
        <v>11</v>
      </c>
      <c r="I3406" s="5">
        <v>0</v>
      </c>
      <c r="J3406" s="4">
        <v>45916.294571759259</v>
      </c>
    </row>
    <row r="3407" spans="1:10" x14ac:dyDescent="0.2">
      <c r="A3407" s="2" t="s">
        <v>10</v>
      </c>
      <c r="B3407" s="3" t="str">
        <f t="shared" si="63"/>
        <v>France - HCP Survey Email - June 2025</v>
      </c>
      <c r="C3407" s="3" t="str">
        <f>HYPERLINK("https://otsuka-europe-crm.veevavault.com/ui/#object/sent_email__v/VBLZ025E82GNPTV", "SE-000275142")</f>
        <v>SE-000275142</v>
      </c>
      <c r="D3407" s="4">
        <v>45922.617615740739</v>
      </c>
      <c r="E3407" s="5">
        <v>1</v>
      </c>
      <c r="F3407" s="5">
        <v>1</v>
      </c>
      <c r="G3407" s="5">
        <v>1</v>
      </c>
      <c r="H3407" s="4">
        <v>45922.617743055554</v>
      </c>
      <c r="I3407" s="5">
        <v>2</v>
      </c>
      <c r="J3407" s="4">
        <v>45916.294791666667</v>
      </c>
    </row>
    <row r="3408" spans="1:10" x14ac:dyDescent="0.2">
      <c r="A3408" s="2" t="s">
        <v>10</v>
      </c>
      <c r="B3408" s="3" t="str">
        <f t="shared" si="63"/>
        <v>France - HCP Survey Email - June 2025</v>
      </c>
      <c r="C3408" s="3" t="str">
        <f>HYPERLINK("https://otsuka-europe-crm.veevavault.com/ui/#object/sent_email__v/VBLZ025E82GNPTW", "SE-000275143")</f>
        <v>SE-000275143</v>
      </c>
      <c r="D3408" s="4" t="s">
        <v>11</v>
      </c>
      <c r="E3408" s="5">
        <v>0</v>
      </c>
      <c r="F3408" s="5">
        <v>0</v>
      </c>
      <c r="G3408" s="5">
        <v>0</v>
      </c>
      <c r="H3408" s="4" t="s">
        <v>11</v>
      </c>
      <c r="I3408" s="5">
        <v>0</v>
      </c>
      <c r="J3408" s="4">
        <v>45916.295011574075</v>
      </c>
    </row>
    <row r="3409" spans="1:10" x14ac:dyDescent="0.2">
      <c r="A3409" s="2" t="s">
        <v>10</v>
      </c>
      <c r="B3409" s="3" t="str">
        <f t="shared" si="63"/>
        <v>France - HCP Survey Email - June 2025</v>
      </c>
      <c r="C3409" s="3" t="str">
        <f>HYPERLINK("https://otsuka-europe-crm.veevavault.com/ui/#object/sent_email__v/VBLZ025E82GNPTX", "SE-000275144")</f>
        <v>SE-000275144</v>
      </c>
      <c r="D3409" s="4" t="s">
        <v>11</v>
      </c>
      <c r="E3409" s="5">
        <v>0</v>
      </c>
      <c r="F3409" s="5">
        <v>0</v>
      </c>
      <c r="G3409" s="5">
        <v>0</v>
      </c>
      <c r="H3409" s="4" t="s">
        <v>11</v>
      </c>
      <c r="I3409" s="5">
        <v>0</v>
      </c>
      <c r="J3409" s="4">
        <v>45916.294305555559</v>
      </c>
    </row>
    <row r="3410" spans="1:10" x14ac:dyDescent="0.2">
      <c r="A3410" s="2" t="s">
        <v>10</v>
      </c>
      <c r="B3410" s="3" t="str">
        <f t="shared" si="63"/>
        <v>France - HCP Survey Email - June 2025</v>
      </c>
      <c r="C3410" s="3" t="str">
        <f>HYPERLINK("https://otsuka-europe-crm.veevavault.com/ui/#object/sent_email__v/VBLZ025E82GNPTY", "SE-000275145")</f>
        <v>SE-000275145</v>
      </c>
      <c r="D3410" s="4">
        <v>45916.462013888886</v>
      </c>
      <c r="E3410" s="5">
        <v>1</v>
      </c>
      <c r="F3410" s="5">
        <v>1</v>
      </c>
      <c r="G3410" s="5">
        <v>0</v>
      </c>
      <c r="H3410" s="4" t="s">
        <v>11</v>
      </c>
      <c r="I3410" s="5">
        <v>0</v>
      </c>
      <c r="J3410" s="4">
        <v>45916.29451388889</v>
      </c>
    </row>
    <row r="3411" spans="1:10" x14ac:dyDescent="0.2">
      <c r="A3411" s="2" t="s">
        <v>10</v>
      </c>
      <c r="B3411" s="3" t="str">
        <f t="shared" si="63"/>
        <v>France - HCP Survey Email - June 2025</v>
      </c>
      <c r="C3411" s="3" t="str">
        <f>HYPERLINK("https://otsuka-europe-crm.veevavault.com/ui/#object/sent_email__v/VBLZ025E82GNPTZ", "SE-000275146")</f>
        <v>SE-000275146</v>
      </c>
      <c r="D3411" s="4" t="s">
        <v>11</v>
      </c>
      <c r="E3411" s="5">
        <v>0</v>
      </c>
      <c r="F3411" s="5">
        <v>0</v>
      </c>
      <c r="G3411" s="5">
        <v>0</v>
      </c>
      <c r="H3411" s="4" t="s">
        <v>11</v>
      </c>
      <c r="I3411" s="5">
        <v>0</v>
      </c>
      <c r="J3411" s="4">
        <v>45916.29482638889</v>
      </c>
    </row>
    <row r="3412" spans="1:10" x14ac:dyDescent="0.2">
      <c r="A3412" s="2" t="s">
        <v>10</v>
      </c>
      <c r="B3412" s="3" t="str">
        <f t="shared" si="63"/>
        <v>France - HCP Survey Email - June 2025</v>
      </c>
      <c r="C3412" s="3" t="str">
        <f>HYPERLINK("https://otsuka-europe-crm.veevavault.com/ui/#object/sent_email__v/VBLZ025E82GNPU0", "SE-000275147")</f>
        <v>SE-000275147</v>
      </c>
      <c r="D3412" s="4">
        <v>45916.366620370369</v>
      </c>
      <c r="E3412" s="5">
        <v>1</v>
      </c>
      <c r="F3412" s="5">
        <v>2</v>
      </c>
      <c r="G3412" s="5">
        <v>1</v>
      </c>
      <c r="H3412" s="4">
        <v>45919.408194444448</v>
      </c>
      <c r="I3412" s="5">
        <v>1</v>
      </c>
      <c r="J3412" s="4">
        <v>45916.294293981482</v>
      </c>
    </row>
    <row r="3413" spans="1:10" x14ac:dyDescent="0.2">
      <c r="A3413" s="2" t="s">
        <v>10</v>
      </c>
      <c r="B3413" s="3" t="str">
        <f t="shared" si="63"/>
        <v>France - HCP Survey Email - June 2025</v>
      </c>
      <c r="C3413" s="3" t="str">
        <f>HYPERLINK("https://otsuka-europe-crm.veevavault.com/ui/#object/sent_email__v/VBLZ025E82GNPU1", "SE-000275148")</f>
        <v>SE-000275148</v>
      </c>
      <c r="D3413" s="4" t="s">
        <v>11</v>
      </c>
      <c r="E3413" s="5">
        <v>0</v>
      </c>
      <c r="F3413" s="5">
        <v>0</v>
      </c>
      <c r="G3413" s="5">
        <v>0</v>
      </c>
      <c r="H3413" s="4" t="s">
        <v>11</v>
      </c>
      <c r="I3413" s="5">
        <v>0</v>
      </c>
      <c r="J3413" s="4">
        <v>45916.294560185182</v>
      </c>
    </row>
    <row r="3414" spans="1:10" x14ac:dyDescent="0.2">
      <c r="A3414" s="2" t="s">
        <v>10</v>
      </c>
      <c r="B3414" s="3" t="str">
        <f t="shared" si="63"/>
        <v>France - HCP Survey Email - June 2025</v>
      </c>
      <c r="C3414" s="3" t="str">
        <f>HYPERLINK("https://otsuka-europe-crm.veevavault.com/ui/#object/sent_email__v/VBLZ025E82GNPU2", "SE-000275149")</f>
        <v>SE-000275149</v>
      </c>
      <c r="D3414" s="4" t="s">
        <v>11</v>
      </c>
      <c r="E3414" s="5">
        <v>0</v>
      </c>
      <c r="F3414" s="5">
        <v>0</v>
      </c>
      <c r="G3414" s="5">
        <v>0</v>
      </c>
      <c r="H3414" s="4" t="s">
        <v>11</v>
      </c>
      <c r="I3414" s="5">
        <v>0</v>
      </c>
      <c r="J3414" s="4">
        <v>45916.294571759259</v>
      </c>
    </row>
    <row r="3415" spans="1:10" x14ac:dyDescent="0.2">
      <c r="A3415" s="2" t="s">
        <v>10</v>
      </c>
      <c r="B3415" s="3" t="str">
        <f t="shared" si="63"/>
        <v>France - HCP Survey Email - June 2025</v>
      </c>
      <c r="C3415" s="3" t="str">
        <f>HYPERLINK("https://otsuka-europe-crm.veevavault.com/ui/#object/sent_email__v/VBLZ025E82GNPU3", "SE-000275150")</f>
        <v>SE-000275150</v>
      </c>
      <c r="D3415" s="4" t="s">
        <v>11</v>
      </c>
      <c r="E3415" s="5">
        <v>0</v>
      </c>
      <c r="F3415" s="5">
        <v>0</v>
      </c>
      <c r="G3415" s="5">
        <v>0</v>
      </c>
      <c r="H3415" s="4" t="s">
        <v>11</v>
      </c>
      <c r="I3415" s="5">
        <v>0</v>
      </c>
      <c r="J3415" s="4">
        <v>45916.29482638889</v>
      </c>
    </row>
    <row r="3416" spans="1:10" x14ac:dyDescent="0.2">
      <c r="A3416" s="2" t="s">
        <v>10</v>
      </c>
      <c r="B3416" s="3" t="str">
        <f t="shared" si="63"/>
        <v>France - HCP Survey Email - June 2025</v>
      </c>
      <c r="C3416" s="3" t="str">
        <f>HYPERLINK("https://otsuka-europe-crm.veevavault.com/ui/#object/sent_email__v/VBLZ025E82GNPU4", "SE-000275151")</f>
        <v>SE-000275151</v>
      </c>
      <c r="D3416" s="4" t="s">
        <v>11</v>
      </c>
      <c r="E3416" s="5">
        <v>0</v>
      </c>
      <c r="F3416" s="5">
        <v>0</v>
      </c>
      <c r="G3416" s="5">
        <v>0</v>
      </c>
      <c r="H3416" s="4" t="s">
        <v>11</v>
      </c>
      <c r="I3416" s="5">
        <v>0</v>
      </c>
      <c r="J3416" s="4">
        <v>45916.294236111113</v>
      </c>
    </row>
    <row r="3417" spans="1:10" x14ac:dyDescent="0.2">
      <c r="A3417" s="2" t="s">
        <v>10</v>
      </c>
      <c r="B3417" s="3" t="str">
        <f t="shared" si="63"/>
        <v>France - HCP Survey Email - June 2025</v>
      </c>
      <c r="C3417" s="3" t="str">
        <f>HYPERLINK("https://otsuka-europe-crm.veevavault.com/ui/#object/sent_email__v/VBLZ025E82GNPU5", "SE-000275152")</f>
        <v>SE-000275152</v>
      </c>
      <c r="D3417" s="4" t="s">
        <v>11</v>
      </c>
      <c r="E3417" s="5">
        <v>0</v>
      </c>
      <c r="F3417" s="5">
        <v>0</v>
      </c>
      <c r="G3417" s="5">
        <v>0</v>
      </c>
      <c r="H3417" s="4" t="s">
        <v>11</v>
      </c>
      <c r="I3417" s="5">
        <v>0</v>
      </c>
      <c r="J3417" s="4">
        <v>45916.294502314813</v>
      </c>
    </row>
    <row r="3418" spans="1:10" x14ac:dyDescent="0.2">
      <c r="A3418" s="2" t="s">
        <v>10</v>
      </c>
      <c r="B3418" s="3" t="str">
        <f t="shared" si="63"/>
        <v>France - HCP Survey Email - June 2025</v>
      </c>
      <c r="C3418" s="3" t="str">
        <f>HYPERLINK("https://otsuka-europe-crm.veevavault.com/ui/#object/sent_email__v/VBLZ025E82GNPU6", "SE-000275153")</f>
        <v>SE-000275153</v>
      </c>
      <c r="D3418" s="4" t="s">
        <v>11</v>
      </c>
      <c r="E3418" s="5">
        <v>0</v>
      </c>
      <c r="F3418" s="5">
        <v>0</v>
      </c>
      <c r="G3418" s="5">
        <v>0</v>
      </c>
      <c r="H3418" s="4" t="s">
        <v>11</v>
      </c>
      <c r="I3418" s="5">
        <v>0</v>
      </c>
      <c r="J3418" s="4">
        <v>45916.294849537036</v>
      </c>
    </row>
    <row r="3419" spans="1:10" x14ac:dyDescent="0.2">
      <c r="A3419" s="2" t="s">
        <v>10</v>
      </c>
      <c r="B3419" s="3" t="str">
        <f t="shared" si="63"/>
        <v>France - HCP Survey Email - June 2025</v>
      </c>
      <c r="C3419" s="3" t="str">
        <f>HYPERLINK("https://otsuka-europe-crm.veevavault.com/ui/#object/sent_email__v/VBLZ025E82GNPU7", "SE-000275154")</f>
        <v>SE-000275154</v>
      </c>
      <c r="D3419" s="4" t="s">
        <v>11</v>
      </c>
      <c r="E3419" s="5">
        <v>0</v>
      </c>
      <c r="F3419" s="5">
        <v>0</v>
      </c>
      <c r="G3419" s="5">
        <v>0</v>
      </c>
      <c r="H3419" s="4" t="s">
        <v>11</v>
      </c>
      <c r="I3419" s="5">
        <v>0</v>
      </c>
      <c r="J3419" s="4">
        <v>45916.295011574075</v>
      </c>
    </row>
    <row r="3420" spans="1:10" x14ac:dyDescent="0.2">
      <c r="A3420" s="2" t="s">
        <v>10</v>
      </c>
      <c r="B3420" s="3" t="str">
        <f t="shared" si="63"/>
        <v>France - HCP Survey Email - June 2025</v>
      </c>
      <c r="C3420" s="3" t="str">
        <f>HYPERLINK("https://otsuka-europe-crm.veevavault.com/ui/#object/sent_email__v/VBLZ025E82GNPU8", "SE-000275155")</f>
        <v>SE-000275155</v>
      </c>
      <c r="D3420" s="4" t="s">
        <v>11</v>
      </c>
      <c r="E3420" s="5">
        <v>0</v>
      </c>
      <c r="F3420" s="5">
        <v>0</v>
      </c>
      <c r="G3420" s="5">
        <v>0</v>
      </c>
      <c r="H3420" s="4" t="s">
        <v>11</v>
      </c>
      <c r="I3420" s="5">
        <v>0</v>
      </c>
      <c r="J3420" s="4">
        <v>45916.294305555559</v>
      </c>
    </row>
    <row r="3421" spans="1:10" x14ac:dyDescent="0.2">
      <c r="A3421" s="2" t="s">
        <v>10</v>
      </c>
      <c r="B3421" s="3" t="str">
        <f t="shared" si="63"/>
        <v>France - HCP Survey Email - June 2025</v>
      </c>
      <c r="C3421" s="3" t="str">
        <f>HYPERLINK("https://otsuka-europe-crm.veevavault.com/ui/#object/sent_email__v/VBLZ025E82GNPU9", "SE-000275156")</f>
        <v>SE-000275156</v>
      </c>
      <c r="D3421" s="4" t="s">
        <v>11</v>
      </c>
      <c r="E3421" s="5">
        <v>0</v>
      </c>
      <c r="F3421" s="5">
        <v>0</v>
      </c>
      <c r="G3421" s="5">
        <v>0</v>
      </c>
      <c r="H3421" s="4" t="s">
        <v>11</v>
      </c>
      <c r="I3421" s="5">
        <v>0</v>
      </c>
      <c r="J3421" s="4">
        <v>45916.294490740744</v>
      </c>
    </row>
    <row r="3422" spans="1:10" x14ac:dyDescent="0.2">
      <c r="A3422" s="2" t="s">
        <v>10</v>
      </c>
      <c r="B3422" s="3" t="str">
        <f t="shared" si="63"/>
        <v>France - HCP Survey Email - June 2025</v>
      </c>
      <c r="C3422" s="3" t="str">
        <f>HYPERLINK("https://otsuka-europe-crm.veevavault.com/ui/#object/sent_email__v/VBLZ025E82GNPUA", "SE-000275157")</f>
        <v>SE-000275157</v>
      </c>
      <c r="D3422" s="4" t="s">
        <v>11</v>
      </c>
      <c r="E3422" s="5">
        <v>0</v>
      </c>
      <c r="F3422" s="5">
        <v>0</v>
      </c>
      <c r="G3422" s="5">
        <v>0</v>
      </c>
      <c r="H3422" s="4" t="s">
        <v>11</v>
      </c>
      <c r="I3422" s="5">
        <v>0</v>
      </c>
      <c r="J3422" s="4">
        <v>45916.294849537036</v>
      </c>
    </row>
    <row r="3423" spans="1:10" x14ac:dyDescent="0.2">
      <c r="A3423" s="2" t="s">
        <v>10</v>
      </c>
      <c r="B3423" s="3" t="str">
        <f t="shared" si="63"/>
        <v>France - HCP Survey Email - June 2025</v>
      </c>
      <c r="C3423" s="3" t="str">
        <f>HYPERLINK("https://otsuka-europe-crm.veevavault.com/ui/#object/sent_email__v/VBLZ025E82GNPUB", "SE-000275158")</f>
        <v>SE-000275158</v>
      </c>
      <c r="D3423" s="4" t="s">
        <v>11</v>
      </c>
      <c r="E3423" s="5">
        <v>0</v>
      </c>
      <c r="F3423" s="5">
        <v>0</v>
      </c>
      <c r="G3423" s="5">
        <v>0</v>
      </c>
      <c r="H3423" s="4" t="s">
        <v>11</v>
      </c>
      <c r="I3423" s="5">
        <v>0</v>
      </c>
      <c r="J3423" s="4">
        <v>45916.294282407405</v>
      </c>
    </row>
    <row r="3424" spans="1:10" x14ac:dyDescent="0.2">
      <c r="A3424" s="2" t="s">
        <v>10</v>
      </c>
      <c r="B3424" s="3" t="str">
        <f t="shared" si="63"/>
        <v>France - HCP Survey Email - June 2025</v>
      </c>
      <c r="C3424" s="3" t="str">
        <f>HYPERLINK("https://otsuka-europe-crm.veevavault.com/ui/#object/sent_email__v/VBLZ025E82GNPUC", "SE-000275159")</f>
        <v>SE-000275159</v>
      </c>
      <c r="D3424" s="4" t="s">
        <v>11</v>
      </c>
      <c r="E3424" s="5">
        <v>0</v>
      </c>
      <c r="F3424" s="5">
        <v>0</v>
      </c>
      <c r="G3424" s="5">
        <v>0</v>
      </c>
      <c r="H3424" s="4" t="s">
        <v>11</v>
      </c>
      <c r="I3424" s="5">
        <v>0</v>
      </c>
      <c r="J3424" s="4">
        <v>45916.294456018521</v>
      </c>
    </row>
    <row r="3425" spans="1:10" x14ac:dyDescent="0.2">
      <c r="A3425" s="2" t="s">
        <v>10</v>
      </c>
      <c r="B3425" s="3" t="str">
        <f t="shared" si="63"/>
        <v>France - HCP Survey Email - June 2025</v>
      </c>
      <c r="C3425" s="3" t="str">
        <f>HYPERLINK("https://otsuka-europe-crm.veevavault.com/ui/#object/sent_email__v/VBLZ025E82GNPUD", "SE-000275160")</f>
        <v>SE-000275160</v>
      </c>
      <c r="D3425" s="4" t="s">
        <v>11</v>
      </c>
      <c r="E3425" s="5">
        <v>0</v>
      </c>
      <c r="F3425" s="5">
        <v>0</v>
      </c>
      <c r="G3425" s="5">
        <v>0</v>
      </c>
      <c r="H3425" s="4" t="s">
        <v>11</v>
      </c>
      <c r="I3425" s="5">
        <v>0</v>
      </c>
      <c r="J3425" s="4">
        <v>45916.294641203705</v>
      </c>
    </row>
    <row r="3426" spans="1:10" x14ac:dyDescent="0.2">
      <c r="A3426" s="2" t="s">
        <v>10</v>
      </c>
      <c r="B3426" s="3" t="str">
        <f t="shared" si="63"/>
        <v>France - HCP Survey Email - June 2025</v>
      </c>
      <c r="C3426" s="3" t="str">
        <f>HYPERLINK("https://otsuka-europe-crm.veevavault.com/ui/#object/sent_email__v/VBLZ025E82GNPUE", "SE-000275161")</f>
        <v>SE-000275161</v>
      </c>
      <c r="D3426" s="4" t="s">
        <v>11</v>
      </c>
      <c r="E3426" s="5">
        <v>0</v>
      </c>
      <c r="F3426" s="5">
        <v>0</v>
      </c>
      <c r="G3426" s="5">
        <v>0</v>
      </c>
      <c r="H3426" s="4" t="s">
        <v>11</v>
      </c>
      <c r="I3426" s="5">
        <v>0</v>
      </c>
      <c r="J3426" s="4">
        <v>45916.294803240744</v>
      </c>
    </row>
    <row r="3427" spans="1:10" x14ac:dyDescent="0.2">
      <c r="A3427" s="2" t="s">
        <v>10</v>
      </c>
      <c r="B3427" s="3" t="str">
        <f t="shared" si="63"/>
        <v>France - HCP Survey Email - June 2025</v>
      </c>
      <c r="C3427" s="3" t="str">
        <f>HYPERLINK("https://otsuka-europe-crm.veevavault.com/ui/#object/sent_email__v/VBLZ025E82GNPUF", "SE-000275162")</f>
        <v>SE-000275162</v>
      </c>
      <c r="D3427" s="4" t="s">
        <v>11</v>
      </c>
      <c r="E3427" s="5">
        <v>0</v>
      </c>
      <c r="F3427" s="5">
        <v>0</v>
      </c>
      <c r="G3427" s="5">
        <v>0</v>
      </c>
      <c r="H3427" s="4" t="s">
        <v>11</v>
      </c>
      <c r="I3427" s="5">
        <v>0</v>
      </c>
      <c r="J3427" s="4">
        <v>45916.294259259259</v>
      </c>
    </row>
    <row r="3428" spans="1:10" x14ac:dyDescent="0.2">
      <c r="A3428" s="2" t="s">
        <v>10</v>
      </c>
      <c r="B3428" s="3" t="str">
        <f t="shared" si="63"/>
        <v>France - HCP Survey Email - June 2025</v>
      </c>
      <c r="C3428" s="3" t="str">
        <f>HYPERLINK("https://otsuka-europe-crm.veevavault.com/ui/#object/sent_email__v/VBLZ025E82GNPUG", "SE-000275163")</f>
        <v>SE-000275163</v>
      </c>
      <c r="D3428" s="4" t="s">
        <v>11</v>
      </c>
      <c r="E3428" s="5">
        <v>0</v>
      </c>
      <c r="F3428" s="5">
        <v>0</v>
      </c>
      <c r="G3428" s="5">
        <v>0</v>
      </c>
      <c r="H3428" s="4" t="s">
        <v>11</v>
      </c>
      <c r="I3428" s="5">
        <v>0</v>
      </c>
      <c r="J3428" s="4">
        <v>45916.294432870367</v>
      </c>
    </row>
    <row r="3429" spans="1:10" x14ac:dyDescent="0.2">
      <c r="A3429" s="2" t="s">
        <v>10</v>
      </c>
      <c r="B3429" s="3" t="str">
        <f t="shared" si="63"/>
        <v>France - HCP Survey Email - June 2025</v>
      </c>
      <c r="C3429" s="3" t="str">
        <f>HYPERLINK("https://otsuka-europe-crm.veevavault.com/ui/#object/sent_email__v/VBLZ025E82GNPUH", "SE-000275164")</f>
        <v>SE-000275164</v>
      </c>
      <c r="D3429" s="4" t="s">
        <v>11</v>
      </c>
      <c r="E3429" s="5">
        <v>0</v>
      </c>
      <c r="F3429" s="5">
        <v>0</v>
      </c>
      <c r="G3429" s="5">
        <v>0</v>
      </c>
      <c r="H3429" s="4" t="s">
        <v>11</v>
      </c>
      <c r="I3429" s="5">
        <v>0</v>
      </c>
      <c r="J3429" s="4">
        <v>45916.294756944444</v>
      </c>
    </row>
    <row r="3430" spans="1:10" x14ac:dyDescent="0.2">
      <c r="A3430" s="2" t="s">
        <v>10</v>
      </c>
      <c r="B3430" s="3" t="str">
        <f t="shared" si="63"/>
        <v>France - HCP Survey Email - June 2025</v>
      </c>
      <c r="C3430" s="3" t="str">
        <f>HYPERLINK("https://otsuka-europe-crm.veevavault.com/ui/#object/sent_email__v/VBLZ025E82GNPUI", "SE-000275165")</f>
        <v>SE-000275165</v>
      </c>
      <c r="D3430" s="4" t="s">
        <v>11</v>
      </c>
      <c r="E3430" s="5">
        <v>0</v>
      </c>
      <c r="F3430" s="5">
        <v>0</v>
      </c>
      <c r="G3430" s="5">
        <v>0</v>
      </c>
      <c r="H3430" s="4" t="s">
        <v>11</v>
      </c>
      <c r="I3430" s="5">
        <v>0</v>
      </c>
      <c r="J3430" s="4">
        <v>45916.294976851852</v>
      </c>
    </row>
    <row r="3431" spans="1:10" x14ac:dyDescent="0.2">
      <c r="A3431" s="2" t="s">
        <v>10</v>
      </c>
      <c r="B3431" s="3" t="str">
        <f t="shared" si="63"/>
        <v>France - HCP Survey Email - June 2025</v>
      </c>
      <c r="C3431" s="3" t="str">
        <f>HYPERLINK("https://otsuka-europe-crm.veevavault.com/ui/#object/sent_email__v/VBLZ025E82GNPUJ", "SE-000275166")</f>
        <v>SE-000275166</v>
      </c>
      <c r="D3431" s="4" t="s">
        <v>11</v>
      </c>
      <c r="E3431" s="5">
        <v>0</v>
      </c>
      <c r="F3431" s="5">
        <v>0</v>
      </c>
      <c r="G3431" s="5">
        <v>0</v>
      </c>
      <c r="H3431" s="4" t="s">
        <v>11</v>
      </c>
      <c r="I3431" s="5">
        <v>0</v>
      </c>
      <c r="J3431" s="4">
        <v>45916.294317129628</v>
      </c>
    </row>
    <row r="3432" spans="1:10" x14ac:dyDescent="0.2">
      <c r="A3432" s="2" t="s">
        <v>10</v>
      </c>
      <c r="B3432" s="3" t="str">
        <f t="shared" si="63"/>
        <v>France - HCP Survey Email - June 2025</v>
      </c>
      <c r="C3432" s="3" t="str">
        <f>HYPERLINK("https://otsuka-europe-crm.veevavault.com/ui/#object/sent_email__v/VBLZ025E82GNPUK", "SE-000275167")</f>
        <v>SE-000275167</v>
      </c>
      <c r="D3432" s="4" t="s">
        <v>11</v>
      </c>
      <c r="E3432" s="5">
        <v>0</v>
      </c>
      <c r="F3432" s="5">
        <v>0</v>
      </c>
      <c r="G3432" s="5">
        <v>0</v>
      </c>
      <c r="H3432" s="4" t="s">
        <v>11</v>
      </c>
      <c r="I3432" s="5">
        <v>0</v>
      </c>
      <c r="J3432" s="4">
        <v>45916.294548611113</v>
      </c>
    </row>
    <row r="3433" spans="1:10" x14ac:dyDescent="0.2">
      <c r="A3433" s="2" t="s">
        <v>10</v>
      </c>
      <c r="B3433" s="3" t="str">
        <f t="shared" si="63"/>
        <v>France - HCP Survey Email - June 2025</v>
      </c>
      <c r="C3433" s="3" t="str">
        <f>HYPERLINK("https://otsuka-europe-crm.veevavault.com/ui/#object/sent_email__v/VBLZ025E82GNPUL", "SE-000275168")</f>
        <v>SE-000275168</v>
      </c>
      <c r="D3433" s="4">
        <v>45916.311377314814</v>
      </c>
      <c r="E3433" s="5">
        <v>1</v>
      </c>
      <c r="F3433" s="5">
        <v>2</v>
      </c>
      <c r="G3433" s="5">
        <v>1</v>
      </c>
      <c r="H3433" s="4">
        <v>45924.559201388889</v>
      </c>
      <c r="I3433" s="5">
        <v>2</v>
      </c>
      <c r="J3433" s="4">
        <v>45916.294710648152</v>
      </c>
    </row>
    <row r="3434" spans="1:10" x14ac:dyDescent="0.2">
      <c r="A3434" s="2" t="s">
        <v>10</v>
      </c>
      <c r="B3434" s="3" t="str">
        <f t="shared" si="63"/>
        <v>France - HCP Survey Email - June 2025</v>
      </c>
      <c r="C3434" s="3" t="str">
        <f>HYPERLINK("https://otsuka-europe-crm.veevavault.com/ui/#object/sent_email__v/VBLZ025E82GNPUM", "SE-000275169")</f>
        <v>SE-000275169</v>
      </c>
      <c r="D3434" s="4" t="s">
        <v>11</v>
      </c>
      <c r="E3434" s="5">
        <v>0</v>
      </c>
      <c r="F3434" s="5">
        <v>0</v>
      </c>
      <c r="G3434" s="5">
        <v>0</v>
      </c>
      <c r="H3434" s="4" t="s">
        <v>11</v>
      </c>
      <c r="I3434" s="5">
        <v>0</v>
      </c>
      <c r="J3434" s="4">
        <v>45916.294236111113</v>
      </c>
    </row>
    <row r="3435" spans="1:10" x14ac:dyDescent="0.2">
      <c r="A3435" s="2" t="s">
        <v>10</v>
      </c>
      <c r="B3435" s="3" t="str">
        <f t="shared" si="63"/>
        <v>France - HCP Survey Email - June 2025</v>
      </c>
      <c r="C3435" s="3" t="str">
        <f>HYPERLINK("https://otsuka-europe-crm.veevavault.com/ui/#object/sent_email__v/VBLZ025E82GNPUN", "SE-000275170")</f>
        <v>SE-000275170</v>
      </c>
      <c r="D3435" s="4" t="s">
        <v>11</v>
      </c>
      <c r="E3435" s="5">
        <v>0</v>
      </c>
      <c r="F3435" s="5">
        <v>0</v>
      </c>
      <c r="G3435" s="5">
        <v>0</v>
      </c>
      <c r="H3435" s="4" t="s">
        <v>11</v>
      </c>
      <c r="I3435" s="5">
        <v>0</v>
      </c>
      <c r="J3435" s="4">
        <v>45916.29446759259</v>
      </c>
    </row>
    <row r="3436" spans="1:10" x14ac:dyDescent="0.2">
      <c r="A3436" s="2" t="s">
        <v>10</v>
      </c>
      <c r="B3436" s="3" t="str">
        <f t="shared" si="63"/>
        <v>France - HCP Survey Email - June 2025</v>
      </c>
      <c r="C3436" s="3" t="str">
        <f>HYPERLINK("https://otsuka-europe-crm.veevavault.com/ui/#object/sent_email__v/VBLZ025E82GNPUO", "SE-000275171")</f>
        <v>SE-000275171</v>
      </c>
      <c r="D3436" s="4" t="s">
        <v>11</v>
      </c>
      <c r="E3436" s="5">
        <v>0</v>
      </c>
      <c r="F3436" s="5">
        <v>0</v>
      </c>
      <c r="G3436" s="5">
        <v>0</v>
      </c>
      <c r="H3436" s="4" t="s">
        <v>11</v>
      </c>
      <c r="I3436" s="5">
        <v>0</v>
      </c>
      <c r="J3436" s="4">
        <v>45916.294548611113</v>
      </c>
    </row>
    <row r="3437" spans="1:10" x14ac:dyDescent="0.2">
      <c r="A3437" s="2" t="s">
        <v>10</v>
      </c>
      <c r="B3437" s="3" t="str">
        <f t="shared" si="63"/>
        <v>France - HCP Survey Email - June 2025</v>
      </c>
      <c r="C3437" s="3" t="str">
        <f>HYPERLINK("https://otsuka-europe-crm.veevavault.com/ui/#object/sent_email__v/VBLZ025E82GNPUP", "SE-000275172")</f>
        <v>SE-000275172</v>
      </c>
      <c r="D3437" s="4" t="s">
        <v>11</v>
      </c>
      <c r="E3437" s="5">
        <v>0</v>
      </c>
      <c r="F3437" s="5">
        <v>0</v>
      </c>
      <c r="G3437" s="5">
        <v>0</v>
      </c>
      <c r="H3437" s="4" t="s">
        <v>11</v>
      </c>
      <c r="I3437" s="5">
        <v>0</v>
      </c>
      <c r="J3437" s="4">
        <v>45916.294756944444</v>
      </c>
    </row>
    <row r="3438" spans="1:10" x14ac:dyDescent="0.2">
      <c r="A3438" s="2" t="s">
        <v>10</v>
      </c>
      <c r="B3438" s="3" t="str">
        <f t="shared" si="63"/>
        <v>France - HCP Survey Email - June 2025</v>
      </c>
      <c r="C3438" s="3" t="str">
        <f>HYPERLINK("https://otsuka-europe-crm.veevavault.com/ui/#object/sent_email__v/VBLZ025E82GNPUQ", "SE-000275173")</f>
        <v>SE-000275173</v>
      </c>
      <c r="D3438" s="4" t="s">
        <v>11</v>
      </c>
      <c r="E3438" s="5">
        <v>0</v>
      </c>
      <c r="F3438" s="5">
        <v>0</v>
      </c>
      <c r="G3438" s="5">
        <v>0</v>
      </c>
      <c r="H3438" s="4" t="s">
        <v>11</v>
      </c>
      <c r="I3438" s="5">
        <v>0</v>
      </c>
      <c r="J3438" s="4">
        <v>45916.294224537036</v>
      </c>
    </row>
    <row r="3439" spans="1:10" x14ac:dyDescent="0.2">
      <c r="A3439" s="2" t="s">
        <v>10</v>
      </c>
      <c r="B3439" s="3" t="str">
        <f t="shared" si="63"/>
        <v>France - HCP Survey Email - June 2025</v>
      </c>
      <c r="C3439" s="3" t="str">
        <f>HYPERLINK("https://otsuka-europe-crm.veevavault.com/ui/#object/sent_email__v/VBLZ025E82GNPUR", "SE-000275174")</f>
        <v>SE-000275174</v>
      </c>
      <c r="D3439" s="4">
        <v>45916.550173611111</v>
      </c>
      <c r="E3439" s="5">
        <v>1</v>
      </c>
      <c r="F3439" s="5">
        <v>1</v>
      </c>
      <c r="G3439" s="5">
        <v>1</v>
      </c>
      <c r="H3439" s="4">
        <v>45916.550173611111</v>
      </c>
      <c r="I3439" s="5">
        <v>1</v>
      </c>
      <c r="J3439" s="4">
        <v>45916.294490740744</v>
      </c>
    </row>
    <row r="3440" spans="1:10" x14ac:dyDescent="0.2">
      <c r="A3440" s="2" t="s">
        <v>10</v>
      </c>
      <c r="B3440" s="3" t="str">
        <f t="shared" si="63"/>
        <v>France - HCP Survey Email - June 2025</v>
      </c>
      <c r="C3440" s="3" t="str">
        <f>HYPERLINK("https://otsuka-europe-crm.veevavault.com/ui/#object/sent_email__v/VBLZ025E82GNPUS", "SE-000275175")</f>
        <v>SE-000275175</v>
      </c>
      <c r="D3440" s="4" t="s">
        <v>11</v>
      </c>
      <c r="E3440" s="5">
        <v>0</v>
      </c>
      <c r="F3440" s="5">
        <v>0</v>
      </c>
      <c r="G3440" s="5">
        <v>0</v>
      </c>
      <c r="H3440" s="4" t="s">
        <v>11</v>
      </c>
      <c r="I3440" s="5">
        <v>0</v>
      </c>
      <c r="J3440" s="4">
        <v>45916.294629629629</v>
      </c>
    </row>
    <row r="3441" spans="1:10" x14ac:dyDescent="0.2">
      <c r="A3441" s="2" t="s">
        <v>10</v>
      </c>
      <c r="B3441" s="3" t="str">
        <f t="shared" si="63"/>
        <v>France - HCP Survey Email - June 2025</v>
      </c>
      <c r="C3441" s="3" t="str">
        <f>HYPERLINK("https://otsuka-europe-crm.veevavault.com/ui/#object/sent_email__v/VBLZ025E82GNPUT", "SE-000275176")</f>
        <v>SE-000275176</v>
      </c>
      <c r="D3441" s="4" t="s">
        <v>11</v>
      </c>
      <c r="E3441" s="5">
        <v>0</v>
      </c>
      <c r="F3441" s="5">
        <v>0</v>
      </c>
      <c r="G3441" s="5">
        <v>0</v>
      </c>
      <c r="H3441" s="4" t="s">
        <v>11</v>
      </c>
      <c r="I3441" s="5">
        <v>0</v>
      </c>
      <c r="J3441" s="4">
        <v>45916.294756944444</v>
      </c>
    </row>
    <row r="3442" spans="1:10" x14ac:dyDescent="0.2">
      <c r="A3442" s="2" t="s">
        <v>10</v>
      </c>
      <c r="B3442" s="3" t="str">
        <f t="shared" si="63"/>
        <v>France - HCP Survey Email - June 2025</v>
      </c>
      <c r="C3442" s="3" t="str">
        <f>HYPERLINK("https://otsuka-europe-crm.veevavault.com/ui/#object/sent_email__v/VBLZ025E82GNPUU", "SE-000275177")</f>
        <v>SE-000275177</v>
      </c>
      <c r="D3442" s="4" t="s">
        <v>11</v>
      </c>
      <c r="E3442" s="5">
        <v>0</v>
      </c>
      <c r="F3442" s="5">
        <v>0</v>
      </c>
      <c r="G3442" s="5">
        <v>0</v>
      </c>
      <c r="H3442" s="4" t="s">
        <v>11</v>
      </c>
      <c r="I3442" s="5">
        <v>0</v>
      </c>
      <c r="J3442" s="4">
        <v>45916.294236111113</v>
      </c>
    </row>
    <row r="3443" spans="1:10" x14ac:dyDescent="0.2">
      <c r="A3443" s="2" t="s">
        <v>10</v>
      </c>
      <c r="B3443" s="3" t="str">
        <f t="shared" si="63"/>
        <v>France - HCP Survey Email - June 2025</v>
      </c>
      <c r="C3443" s="3" t="str">
        <f>HYPERLINK("https://otsuka-europe-crm.veevavault.com/ui/#object/sent_email__v/VBLZ025E82GNPUV", "SE-000275178")</f>
        <v>SE-000275178</v>
      </c>
      <c r="D3443" s="4" t="s">
        <v>11</v>
      </c>
      <c r="E3443" s="5">
        <v>0</v>
      </c>
      <c r="F3443" s="5">
        <v>0</v>
      </c>
      <c r="G3443" s="5">
        <v>0</v>
      </c>
      <c r="H3443" s="4" t="s">
        <v>11</v>
      </c>
      <c r="I3443" s="5">
        <v>0</v>
      </c>
      <c r="J3443" s="4">
        <v>45916.294525462959</v>
      </c>
    </row>
    <row r="3444" spans="1:10" x14ac:dyDescent="0.2">
      <c r="A3444" s="2" t="s">
        <v>10</v>
      </c>
      <c r="B3444" s="3" t="str">
        <f t="shared" si="63"/>
        <v>France - HCP Survey Email - June 2025</v>
      </c>
      <c r="C3444" s="3" t="str">
        <f>HYPERLINK("https://otsuka-europe-crm.veevavault.com/ui/#object/sent_email__v/VBLZ025E82GNPUW", "SE-000275179")</f>
        <v>SE-000275179</v>
      </c>
      <c r="D3444" s="4" t="s">
        <v>11</v>
      </c>
      <c r="E3444" s="5">
        <v>0</v>
      </c>
      <c r="F3444" s="5">
        <v>0</v>
      </c>
      <c r="G3444" s="5">
        <v>0</v>
      </c>
      <c r="H3444" s="4" t="s">
        <v>11</v>
      </c>
      <c r="I3444" s="5">
        <v>0</v>
      </c>
      <c r="J3444" s="4">
        <v>45916.29483796296</v>
      </c>
    </row>
    <row r="3445" spans="1:10" x14ac:dyDescent="0.2">
      <c r="A3445" s="2" t="s">
        <v>10</v>
      </c>
      <c r="B3445" s="3" t="str">
        <f t="shared" si="63"/>
        <v>France - HCP Survey Email - June 2025</v>
      </c>
      <c r="C3445" s="3" t="str">
        <f>HYPERLINK("https://otsuka-europe-crm.veevavault.com/ui/#object/sent_email__v/VBLZ025E82GNPUX", "SE-000275180")</f>
        <v>SE-000275180</v>
      </c>
      <c r="D3445" s="4">
        <v>45916.295752314814</v>
      </c>
      <c r="E3445" s="5">
        <v>1</v>
      </c>
      <c r="F3445" s="5">
        <v>1</v>
      </c>
      <c r="G3445" s="5">
        <v>0</v>
      </c>
      <c r="H3445" s="4" t="s">
        <v>11</v>
      </c>
      <c r="I3445" s="5">
        <v>0</v>
      </c>
      <c r="J3445" s="4">
        <v>45916.295057870368</v>
      </c>
    </row>
    <row r="3446" spans="1:10" x14ac:dyDescent="0.2">
      <c r="A3446" s="2" t="s">
        <v>10</v>
      </c>
      <c r="B3446" s="3" t="str">
        <f t="shared" si="63"/>
        <v>France - HCP Survey Email - June 2025</v>
      </c>
      <c r="C3446" s="3" t="str">
        <f>HYPERLINK("https://otsuka-europe-crm.veevavault.com/ui/#object/sent_email__v/VBLZ025E82GNPUY", "SE-000275181")</f>
        <v>SE-000275181</v>
      </c>
      <c r="D3446" s="4" t="s">
        <v>11</v>
      </c>
      <c r="E3446" s="5">
        <v>0</v>
      </c>
      <c r="F3446" s="5">
        <v>0</v>
      </c>
      <c r="G3446" s="5">
        <v>0</v>
      </c>
      <c r="H3446" s="4" t="s">
        <v>11</v>
      </c>
      <c r="I3446" s="5">
        <v>0</v>
      </c>
      <c r="J3446" s="4">
        <v>45916.294305555559</v>
      </c>
    </row>
    <row r="3447" spans="1:10" x14ac:dyDescent="0.2">
      <c r="A3447" s="2" t="s">
        <v>10</v>
      </c>
      <c r="B3447" s="3" t="str">
        <f t="shared" si="63"/>
        <v>France - HCP Survey Email - June 2025</v>
      </c>
      <c r="C3447" s="3" t="str">
        <f>HYPERLINK("https://otsuka-europe-crm.veevavault.com/ui/#object/sent_email__v/VBLZ025E82GNPUZ", "SE-000275182")</f>
        <v>SE-000275182</v>
      </c>
      <c r="D3447" s="4" t="s">
        <v>11</v>
      </c>
      <c r="E3447" s="5">
        <v>0</v>
      </c>
      <c r="F3447" s="5">
        <v>0</v>
      </c>
      <c r="G3447" s="5">
        <v>0</v>
      </c>
      <c r="H3447" s="4" t="s">
        <v>11</v>
      </c>
      <c r="I3447" s="5">
        <v>0</v>
      </c>
      <c r="J3447" s="4">
        <v>45916.294502314813</v>
      </c>
    </row>
    <row r="3448" spans="1:10" x14ac:dyDescent="0.2">
      <c r="A3448" s="2" t="s">
        <v>10</v>
      </c>
      <c r="B3448" s="3" t="str">
        <f t="shared" si="63"/>
        <v>France - HCP Survey Email - June 2025</v>
      </c>
      <c r="C3448" s="3" t="str">
        <f>HYPERLINK("https://otsuka-europe-crm.veevavault.com/ui/#object/sent_email__v/VBLZ025E82GNPV0", "SE-000275183")</f>
        <v>SE-000275183</v>
      </c>
      <c r="D3448" s="4" t="s">
        <v>11</v>
      </c>
      <c r="E3448" s="5">
        <v>0</v>
      </c>
      <c r="F3448" s="5">
        <v>0</v>
      </c>
      <c r="G3448" s="5">
        <v>0</v>
      </c>
      <c r="H3448" s="4" t="s">
        <v>11</v>
      </c>
      <c r="I3448" s="5">
        <v>0</v>
      </c>
      <c r="J3448" s="4">
        <v>45916.29488425926</v>
      </c>
    </row>
    <row r="3449" spans="1:10" x14ac:dyDescent="0.2">
      <c r="A3449" s="2" t="s">
        <v>10</v>
      </c>
      <c r="B3449" s="3" t="str">
        <f t="shared" si="63"/>
        <v>France - HCP Survey Email - June 2025</v>
      </c>
      <c r="C3449" s="3" t="str">
        <f>HYPERLINK("https://otsuka-europe-crm.veevavault.com/ui/#object/sent_email__v/VBLZ025E82GNPV1", "SE-000275184")</f>
        <v>SE-000275184</v>
      </c>
      <c r="D3449" s="4" t="s">
        <v>11</v>
      </c>
      <c r="E3449" s="5">
        <v>0</v>
      </c>
      <c r="F3449" s="5">
        <v>0</v>
      </c>
      <c r="G3449" s="5">
        <v>0</v>
      </c>
      <c r="H3449" s="4" t="s">
        <v>11</v>
      </c>
      <c r="I3449" s="5">
        <v>0</v>
      </c>
      <c r="J3449" s="4">
        <v>45916.294212962966</v>
      </c>
    </row>
    <row r="3450" spans="1:10" x14ac:dyDescent="0.2">
      <c r="A3450" s="2" t="s">
        <v>10</v>
      </c>
      <c r="B3450" s="3" t="str">
        <f t="shared" si="63"/>
        <v>France - HCP Survey Email - June 2025</v>
      </c>
      <c r="C3450" s="3" t="str">
        <f>HYPERLINK("https://otsuka-europe-crm.veevavault.com/ui/#object/sent_email__v/VBLZ025E82GNPV2", "SE-000275185")</f>
        <v>SE-000275185</v>
      </c>
      <c r="D3450" s="4">
        <v>45922.380185185182</v>
      </c>
      <c r="E3450" s="5">
        <v>1</v>
      </c>
      <c r="F3450" s="5">
        <v>1</v>
      </c>
      <c r="G3450" s="5">
        <v>1</v>
      </c>
      <c r="H3450" s="4">
        <v>45922.380185185182</v>
      </c>
      <c r="I3450" s="5">
        <v>1</v>
      </c>
      <c r="J3450" s="4">
        <v>45916.294409722221</v>
      </c>
    </row>
    <row r="3451" spans="1:10" x14ac:dyDescent="0.2">
      <c r="A3451" s="2" t="s">
        <v>10</v>
      </c>
      <c r="B3451" s="3" t="str">
        <f t="shared" si="63"/>
        <v>France - HCP Survey Email - June 2025</v>
      </c>
      <c r="C3451" s="3" t="str">
        <f>HYPERLINK("https://otsuka-europe-crm.veevavault.com/ui/#object/sent_email__v/VBLZ025E82GNPV3", "SE-000275186")</f>
        <v>SE-000275186</v>
      </c>
      <c r="D3451" s="4">
        <v>45916.294652777775</v>
      </c>
      <c r="E3451" s="5">
        <v>1</v>
      </c>
      <c r="F3451" s="5">
        <v>1</v>
      </c>
      <c r="G3451" s="5">
        <v>1</v>
      </c>
      <c r="H3451" s="4">
        <v>45917.646655092591</v>
      </c>
      <c r="I3451" s="5">
        <v>1</v>
      </c>
      <c r="J3451" s="4">
        <v>45916.294606481482</v>
      </c>
    </row>
    <row r="3452" spans="1:10" x14ac:dyDescent="0.2">
      <c r="A3452" s="2" t="s">
        <v>10</v>
      </c>
      <c r="B3452" s="3" t="str">
        <f t="shared" si="63"/>
        <v>France - HCP Survey Email - June 2025</v>
      </c>
      <c r="C3452" s="3" t="str">
        <f>HYPERLINK("https://otsuka-europe-crm.veevavault.com/ui/#object/sent_email__v/VBLZ025E82GNPV4", "SE-000275187")</f>
        <v>SE-000275187</v>
      </c>
      <c r="D3452" s="4" t="s">
        <v>11</v>
      </c>
      <c r="E3452" s="5">
        <v>0</v>
      </c>
      <c r="F3452" s="5">
        <v>0</v>
      </c>
      <c r="G3452" s="5">
        <v>0</v>
      </c>
      <c r="H3452" s="4" t="s">
        <v>11</v>
      </c>
      <c r="I3452" s="5">
        <v>0</v>
      </c>
      <c r="J3452" s="4">
        <v>45916.294768518521</v>
      </c>
    </row>
    <row r="3453" spans="1:10" x14ac:dyDescent="0.2">
      <c r="A3453" s="2" t="s">
        <v>10</v>
      </c>
      <c r="B3453" s="3" t="str">
        <f t="shared" si="63"/>
        <v>France - HCP Survey Email - June 2025</v>
      </c>
      <c r="C3453" s="3" t="str">
        <f>HYPERLINK("https://otsuka-europe-crm.veevavault.com/ui/#object/sent_email__v/VBLZ025E82GNPV5", "SE-000275188")</f>
        <v>SE-000275188</v>
      </c>
      <c r="D3453" s="4">
        <v>45916.426979166667</v>
      </c>
      <c r="E3453" s="5">
        <v>1</v>
      </c>
      <c r="F3453" s="5">
        <v>2</v>
      </c>
      <c r="G3453" s="5">
        <v>0</v>
      </c>
      <c r="H3453" s="4" t="s">
        <v>11</v>
      </c>
      <c r="I3453" s="5">
        <v>0</v>
      </c>
      <c r="J3453" s="4">
        <v>45916.294189814813</v>
      </c>
    </row>
    <row r="3454" spans="1:10" x14ac:dyDescent="0.2">
      <c r="A3454" s="2" t="s">
        <v>10</v>
      </c>
      <c r="B3454" s="3" t="str">
        <f t="shared" si="63"/>
        <v>France - HCP Survey Email - June 2025</v>
      </c>
      <c r="C3454" s="3" t="str">
        <f>HYPERLINK("https://otsuka-europe-crm.veevavault.com/ui/#object/sent_email__v/VBLZ025E82GNPV6", "SE-000275189")</f>
        <v>SE-000275189</v>
      </c>
      <c r="D3454" s="4" t="s">
        <v>11</v>
      </c>
      <c r="E3454" s="5">
        <v>0</v>
      </c>
      <c r="F3454" s="5">
        <v>0</v>
      </c>
      <c r="G3454" s="5">
        <v>0</v>
      </c>
      <c r="H3454" s="4" t="s">
        <v>11</v>
      </c>
      <c r="I3454" s="5">
        <v>0</v>
      </c>
      <c r="J3454" s="4">
        <v>45916.294502314813</v>
      </c>
    </row>
    <row r="3455" spans="1:10" x14ac:dyDescent="0.2">
      <c r="A3455" s="2" t="s">
        <v>10</v>
      </c>
      <c r="B3455" s="3" t="str">
        <f t="shared" si="63"/>
        <v>France - HCP Survey Email - June 2025</v>
      </c>
      <c r="C3455" s="3" t="str">
        <f>HYPERLINK("https://otsuka-europe-crm.veevavault.com/ui/#object/sent_email__v/VBLZ025E82GNPV7", "SE-000275190")</f>
        <v>SE-000275190</v>
      </c>
      <c r="D3455" s="4" t="s">
        <v>11</v>
      </c>
      <c r="E3455" s="5">
        <v>0</v>
      </c>
      <c r="F3455" s="5">
        <v>0</v>
      </c>
      <c r="G3455" s="5">
        <v>0</v>
      </c>
      <c r="H3455" s="4" t="s">
        <v>11</v>
      </c>
      <c r="I3455" s="5">
        <v>0</v>
      </c>
      <c r="J3455" s="4">
        <v>45916.294791666667</v>
      </c>
    </row>
    <row r="3456" spans="1:10" x14ac:dyDescent="0.2">
      <c r="A3456" s="2" t="s">
        <v>10</v>
      </c>
      <c r="B3456" s="3" t="str">
        <f t="shared" si="63"/>
        <v>France - HCP Survey Email - June 2025</v>
      </c>
      <c r="C3456" s="3" t="str">
        <f>HYPERLINK("https://otsuka-europe-crm.veevavault.com/ui/#object/sent_email__v/VBLZ025E82GNPV8", "SE-000275191")</f>
        <v>SE-000275191</v>
      </c>
      <c r="D3456" s="4" t="s">
        <v>11</v>
      </c>
      <c r="E3456" s="5">
        <v>0</v>
      </c>
      <c r="F3456" s="5">
        <v>0</v>
      </c>
      <c r="G3456" s="5">
        <v>0</v>
      </c>
      <c r="H3456" s="4" t="s">
        <v>11</v>
      </c>
      <c r="I3456" s="5">
        <v>0</v>
      </c>
      <c r="J3456" s="4">
        <v>45916.294999999998</v>
      </c>
    </row>
    <row r="3457" spans="1:10" x14ac:dyDescent="0.2">
      <c r="A3457" s="2" t="s">
        <v>10</v>
      </c>
      <c r="B3457" s="3" t="str">
        <f t="shared" ref="B3457:B3520" si="64">HYPERLINK("https://otsuka-europe-crm.veevavault.com/ui/#object/approved_document__v/V5OZ025E82TMV97", "France - HCP Survey Email - June 2025")</f>
        <v>France - HCP Survey Email - June 2025</v>
      </c>
      <c r="C3457" s="3" t="str">
        <f>HYPERLINK("https://otsuka-europe-crm.veevavault.com/ui/#object/sent_email__v/VBLZ025E82GNPV9", "SE-000275192")</f>
        <v>SE-000275192</v>
      </c>
      <c r="D3457" s="4">
        <v>45916.602662037039</v>
      </c>
      <c r="E3457" s="5">
        <v>1</v>
      </c>
      <c r="F3457" s="5">
        <v>4</v>
      </c>
      <c r="G3457" s="5">
        <v>0</v>
      </c>
      <c r="H3457" s="4" t="s">
        <v>11</v>
      </c>
      <c r="I3457" s="5">
        <v>0</v>
      </c>
      <c r="J3457" s="4">
        <v>45916.294270833336</v>
      </c>
    </row>
    <row r="3458" spans="1:10" x14ac:dyDescent="0.2">
      <c r="A3458" s="2" t="s">
        <v>10</v>
      </c>
      <c r="B3458" s="3" t="str">
        <f t="shared" si="64"/>
        <v>France - HCP Survey Email - June 2025</v>
      </c>
      <c r="C3458" s="3" t="str">
        <f>HYPERLINK("https://otsuka-europe-crm.veevavault.com/ui/#object/sent_email__v/VBLZ025E82GNPVA", "SE-000275193")</f>
        <v>SE-000275193</v>
      </c>
      <c r="D3458" s="4" t="s">
        <v>11</v>
      </c>
      <c r="E3458" s="5">
        <v>0</v>
      </c>
      <c r="F3458" s="5">
        <v>0</v>
      </c>
      <c r="G3458" s="5">
        <v>0</v>
      </c>
      <c r="H3458" s="4" t="s">
        <v>11</v>
      </c>
      <c r="I3458" s="5">
        <v>0</v>
      </c>
      <c r="J3458" s="4">
        <v>45916.294537037036</v>
      </c>
    </row>
    <row r="3459" spans="1:10" x14ac:dyDescent="0.2">
      <c r="A3459" s="2" t="s">
        <v>10</v>
      </c>
      <c r="B3459" s="3" t="str">
        <f t="shared" si="64"/>
        <v>France - HCP Survey Email - June 2025</v>
      </c>
      <c r="C3459" s="3" t="str">
        <f>HYPERLINK("https://otsuka-europe-crm.veevavault.com/ui/#object/sent_email__v/VBLZ025E82GNPVB", "SE-000275194")</f>
        <v>SE-000275194</v>
      </c>
      <c r="D3459" s="4" t="s">
        <v>11</v>
      </c>
      <c r="E3459" s="5">
        <v>0</v>
      </c>
      <c r="F3459" s="5">
        <v>0</v>
      </c>
      <c r="G3459" s="5">
        <v>0</v>
      </c>
      <c r="H3459" s="4" t="s">
        <v>11</v>
      </c>
      <c r="I3459" s="5">
        <v>0</v>
      </c>
      <c r="J3459" s="4">
        <v>45916.294849537036</v>
      </c>
    </row>
    <row r="3460" spans="1:10" x14ac:dyDescent="0.2">
      <c r="A3460" s="2" t="s">
        <v>10</v>
      </c>
      <c r="B3460" s="3" t="str">
        <f t="shared" si="64"/>
        <v>France - HCP Survey Email - June 2025</v>
      </c>
      <c r="C3460" s="3" t="str">
        <f>HYPERLINK("https://otsuka-europe-crm.veevavault.com/ui/#object/sent_email__v/VBLZ025E82GNPVC", "SE-000275195")</f>
        <v>SE-000275195</v>
      </c>
      <c r="D3460" s="4">
        <v>45916.297476851854</v>
      </c>
      <c r="E3460" s="5">
        <v>1</v>
      </c>
      <c r="F3460" s="5">
        <v>1</v>
      </c>
      <c r="G3460" s="5">
        <v>1</v>
      </c>
      <c r="H3460" s="4">
        <v>45916.304432870369</v>
      </c>
      <c r="I3460" s="5">
        <v>1</v>
      </c>
      <c r="J3460" s="4">
        <v>45916.294282407405</v>
      </c>
    </row>
    <row r="3461" spans="1:10" x14ac:dyDescent="0.2">
      <c r="A3461" s="2" t="s">
        <v>10</v>
      </c>
      <c r="B3461" s="3" t="str">
        <f t="shared" si="64"/>
        <v>France - HCP Survey Email - June 2025</v>
      </c>
      <c r="C3461" s="3" t="str">
        <f>HYPERLINK("https://otsuka-europe-crm.veevavault.com/ui/#object/sent_email__v/VBLZ025E82GNPVD", "SE-000275196")</f>
        <v>SE-000275196</v>
      </c>
      <c r="D3461" s="4" t="s">
        <v>11</v>
      </c>
      <c r="E3461" s="5">
        <v>0</v>
      </c>
      <c r="F3461" s="5">
        <v>0</v>
      </c>
      <c r="G3461" s="5">
        <v>0</v>
      </c>
      <c r="H3461" s="4" t="s">
        <v>11</v>
      </c>
      <c r="I3461" s="5">
        <v>0</v>
      </c>
      <c r="J3461" s="4">
        <v>45916.294444444444</v>
      </c>
    </row>
    <row r="3462" spans="1:10" x14ac:dyDescent="0.2">
      <c r="A3462" s="2" t="s">
        <v>10</v>
      </c>
      <c r="B3462" s="3" t="str">
        <f t="shared" si="64"/>
        <v>France - HCP Survey Email - June 2025</v>
      </c>
      <c r="C3462" s="3" t="str">
        <f>HYPERLINK("https://otsuka-europe-crm.veevavault.com/ui/#object/sent_email__v/VBLZ025E82GNPVE", "SE-000275197")</f>
        <v>SE-000275197</v>
      </c>
      <c r="D3462" s="4" t="s">
        <v>11</v>
      </c>
      <c r="E3462" s="5">
        <v>0</v>
      </c>
      <c r="F3462" s="5">
        <v>0</v>
      </c>
      <c r="G3462" s="5">
        <v>0</v>
      </c>
      <c r="H3462" s="4" t="s">
        <v>11</v>
      </c>
      <c r="I3462" s="5">
        <v>0</v>
      </c>
      <c r="J3462" s="4">
        <v>45916.294340277775</v>
      </c>
    </row>
    <row r="3463" spans="1:10" x14ac:dyDescent="0.2">
      <c r="A3463" s="2" t="s">
        <v>10</v>
      </c>
      <c r="B3463" s="3" t="str">
        <f t="shared" si="64"/>
        <v>France - HCP Survey Email - June 2025</v>
      </c>
      <c r="C3463" s="3" t="str">
        <f>HYPERLINK("https://otsuka-europe-crm.veevavault.com/ui/#object/sent_email__v/VBLZ025E82GNPVF", "SE-000275198")</f>
        <v>SE-000275198</v>
      </c>
      <c r="D3463" s="4" t="s">
        <v>11</v>
      </c>
      <c r="E3463" s="5">
        <v>0</v>
      </c>
      <c r="F3463" s="5">
        <v>0</v>
      </c>
      <c r="G3463" s="5">
        <v>0</v>
      </c>
      <c r="H3463" s="4" t="s">
        <v>11</v>
      </c>
      <c r="I3463" s="5">
        <v>0</v>
      </c>
      <c r="J3463" s="4">
        <v>45916.294444444444</v>
      </c>
    </row>
    <row r="3464" spans="1:10" x14ac:dyDescent="0.2">
      <c r="A3464" s="2" t="s">
        <v>10</v>
      </c>
      <c r="B3464" s="3" t="str">
        <f t="shared" si="64"/>
        <v>France - HCP Survey Email - June 2025</v>
      </c>
      <c r="C3464" s="3" t="str">
        <f>HYPERLINK("https://otsuka-europe-crm.veevavault.com/ui/#object/sent_email__v/VBLZ025E82GNPVG", "SE-000275199")</f>
        <v>SE-000275199</v>
      </c>
      <c r="D3464" s="4">
        <v>45917.278449074074</v>
      </c>
      <c r="E3464" s="5">
        <v>1</v>
      </c>
      <c r="F3464" s="5">
        <v>1</v>
      </c>
      <c r="G3464" s="5">
        <v>0</v>
      </c>
      <c r="H3464" s="4" t="s">
        <v>11</v>
      </c>
      <c r="I3464" s="5">
        <v>0</v>
      </c>
      <c r="J3464" s="4">
        <v>45916.294849537036</v>
      </c>
    </row>
    <row r="3465" spans="1:10" x14ac:dyDescent="0.2">
      <c r="A3465" s="2" t="s">
        <v>10</v>
      </c>
      <c r="B3465" s="3" t="str">
        <f t="shared" si="64"/>
        <v>France - HCP Survey Email - June 2025</v>
      </c>
      <c r="C3465" s="3" t="str">
        <f>HYPERLINK("https://otsuka-europe-crm.veevavault.com/ui/#object/sent_email__v/VBLZ025E82GNPVH", "SE-000275200")</f>
        <v>SE-000275200</v>
      </c>
      <c r="D3465" s="4" t="s">
        <v>11</v>
      </c>
      <c r="E3465" s="5">
        <v>0</v>
      </c>
      <c r="F3465" s="5">
        <v>0</v>
      </c>
      <c r="G3465" s="5">
        <v>0</v>
      </c>
      <c r="H3465" s="4" t="s">
        <v>11</v>
      </c>
      <c r="I3465" s="5">
        <v>0</v>
      </c>
      <c r="J3465" s="4">
        <v>45916.294212962966</v>
      </c>
    </row>
    <row r="3466" spans="1:10" x14ac:dyDescent="0.2">
      <c r="A3466" s="2" t="s">
        <v>10</v>
      </c>
      <c r="B3466" s="3" t="str">
        <f t="shared" si="64"/>
        <v>France - HCP Survey Email - June 2025</v>
      </c>
      <c r="C3466" s="3" t="str">
        <f>HYPERLINK("https://otsuka-europe-crm.veevavault.com/ui/#object/sent_email__v/VBLZ025E82GNPVI", "SE-000275201")</f>
        <v>SE-000275201</v>
      </c>
      <c r="D3466" s="4" t="s">
        <v>11</v>
      </c>
      <c r="E3466" s="5">
        <v>0</v>
      </c>
      <c r="F3466" s="5">
        <v>0</v>
      </c>
      <c r="G3466" s="5">
        <v>0</v>
      </c>
      <c r="H3466" s="4" t="s">
        <v>11</v>
      </c>
      <c r="I3466" s="5">
        <v>0</v>
      </c>
      <c r="J3466" s="4">
        <v>45916.294444444444</v>
      </c>
    </row>
    <row r="3467" spans="1:10" x14ac:dyDescent="0.2">
      <c r="A3467" s="2" t="s">
        <v>10</v>
      </c>
      <c r="B3467" s="3" t="str">
        <f t="shared" si="64"/>
        <v>France - HCP Survey Email - June 2025</v>
      </c>
      <c r="C3467" s="3" t="str">
        <f>HYPERLINK("https://otsuka-europe-crm.veevavault.com/ui/#object/sent_email__v/VBLZ025E82GNPVJ", "SE-000275202")</f>
        <v>SE-000275202</v>
      </c>
      <c r="D3467" s="4" t="s">
        <v>11</v>
      </c>
      <c r="E3467" s="5">
        <v>0</v>
      </c>
      <c r="F3467" s="5">
        <v>0</v>
      </c>
      <c r="G3467" s="5">
        <v>0</v>
      </c>
      <c r="H3467" s="4" t="s">
        <v>11</v>
      </c>
      <c r="I3467" s="5">
        <v>0</v>
      </c>
      <c r="J3467" s="4">
        <v>45916.294560185182</v>
      </c>
    </row>
    <row r="3468" spans="1:10" x14ac:dyDescent="0.2">
      <c r="A3468" s="2" t="s">
        <v>10</v>
      </c>
      <c r="B3468" s="3" t="str">
        <f t="shared" si="64"/>
        <v>France - HCP Survey Email - June 2025</v>
      </c>
      <c r="C3468" s="3" t="str">
        <f>HYPERLINK("https://otsuka-europe-crm.veevavault.com/ui/#object/sent_email__v/VBLZ025E82GNPVK", "SE-000275203")</f>
        <v>SE-000275203</v>
      </c>
      <c r="D3468" s="4">
        <v>45916.295185185183</v>
      </c>
      <c r="E3468" s="5">
        <v>1</v>
      </c>
      <c r="F3468" s="5">
        <v>1</v>
      </c>
      <c r="G3468" s="5">
        <v>1</v>
      </c>
      <c r="H3468" s="4">
        <v>45916.296041666668</v>
      </c>
      <c r="I3468" s="5">
        <v>1</v>
      </c>
      <c r="J3468" s="4">
        <v>45916.294791666667</v>
      </c>
    </row>
    <row r="3469" spans="1:10" x14ac:dyDescent="0.2">
      <c r="A3469" s="2" t="s">
        <v>10</v>
      </c>
      <c r="B3469" s="3" t="str">
        <f t="shared" si="64"/>
        <v>France - HCP Survey Email - June 2025</v>
      </c>
      <c r="C3469" s="3" t="str">
        <f>HYPERLINK("https://otsuka-europe-crm.veevavault.com/ui/#object/sent_email__v/VBLZ025E82GNPVL", "SE-000275204")</f>
        <v>SE-000275204</v>
      </c>
      <c r="D3469" s="4" t="s">
        <v>11</v>
      </c>
      <c r="E3469" s="5">
        <v>0</v>
      </c>
      <c r="F3469" s="5">
        <v>0</v>
      </c>
      <c r="G3469" s="5">
        <v>0</v>
      </c>
      <c r="H3469" s="4" t="s">
        <v>11</v>
      </c>
      <c r="I3469" s="5">
        <v>0</v>
      </c>
      <c r="J3469" s="4">
        <v>45916.294189814813</v>
      </c>
    </row>
    <row r="3470" spans="1:10" x14ac:dyDescent="0.2">
      <c r="A3470" s="2" t="s">
        <v>10</v>
      </c>
      <c r="B3470" s="3" t="str">
        <f t="shared" si="64"/>
        <v>France - HCP Survey Email - June 2025</v>
      </c>
      <c r="C3470" s="3" t="str">
        <f>HYPERLINK("https://otsuka-europe-crm.veevavault.com/ui/#object/sent_email__v/VBLZ025E82GNPVM", "SE-000275205")</f>
        <v>SE-000275205</v>
      </c>
      <c r="D3470" s="4" t="s">
        <v>11</v>
      </c>
      <c r="E3470" s="5">
        <v>0</v>
      </c>
      <c r="F3470" s="5">
        <v>0</v>
      </c>
      <c r="G3470" s="5">
        <v>0</v>
      </c>
      <c r="H3470" s="4" t="s">
        <v>11</v>
      </c>
      <c r="I3470" s="5">
        <v>0</v>
      </c>
      <c r="J3470" s="4">
        <v>45916.294502314813</v>
      </c>
    </row>
    <row r="3471" spans="1:10" x14ac:dyDescent="0.2">
      <c r="A3471" s="2" t="s">
        <v>10</v>
      </c>
      <c r="B3471" s="3" t="str">
        <f t="shared" si="64"/>
        <v>France - HCP Survey Email - June 2025</v>
      </c>
      <c r="C3471" s="3" t="str">
        <f>HYPERLINK("https://otsuka-europe-crm.veevavault.com/ui/#object/sent_email__v/VBLZ025E82GNPVN", "SE-000275206")</f>
        <v>SE-000275206</v>
      </c>
      <c r="D3471" s="4" t="s">
        <v>11</v>
      </c>
      <c r="E3471" s="5">
        <v>0</v>
      </c>
      <c r="F3471" s="5">
        <v>0</v>
      </c>
      <c r="G3471" s="5">
        <v>0</v>
      </c>
      <c r="H3471" s="4" t="s">
        <v>11</v>
      </c>
      <c r="I3471" s="5">
        <v>0</v>
      </c>
      <c r="J3471" s="4">
        <v>45916.294756944444</v>
      </c>
    </row>
    <row r="3472" spans="1:10" x14ac:dyDescent="0.2">
      <c r="A3472" s="2" t="s">
        <v>10</v>
      </c>
      <c r="B3472" s="3" t="str">
        <f t="shared" si="64"/>
        <v>France - HCP Survey Email - June 2025</v>
      </c>
      <c r="C3472" s="3" t="str">
        <f>HYPERLINK("https://otsuka-europe-crm.veevavault.com/ui/#object/sent_email__v/VBLZ025E82GNPVO", "SE-000275207")</f>
        <v>SE-000275207</v>
      </c>
      <c r="D3472" s="4">
        <v>45916.496111111112</v>
      </c>
      <c r="E3472" s="5">
        <v>1</v>
      </c>
      <c r="F3472" s="5">
        <v>2</v>
      </c>
      <c r="G3472" s="5">
        <v>0</v>
      </c>
      <c r="H3472" s="4" t="s">
        <v>11</v>
      </c>
      <c r="I3472" s="5">
        <v>0</v>
      </c>
      <c r="J3472" s="4">
        <v>45916.294976851852</v>
      </c>
    </row>
    <row r="3473" spans="1:10" x14ac:dyDescent="0.2">
      <c r="A3473" s="2" t="s">
        <v>10</v>
      </c>
      <c r="B3473" s="3" t="str">
        <f t="shared" si="64"/>
        <v>France - HCP Survey Email - June 2025</v>
      </c>
      <c r="C3473" s="3" t="str">
        <f>HYPERLINK("https://otsuka-europe-crm.veevavault.com/ui/#object/sent_email__v/VBLZ025E82GNPVP", "SE-000275208")</f>
        <v>SE-000275208</v>
      </c>
      <c r="D3473" s="4" t="s">
        <v>11</v>
      </c>
      <c r="E3473" s="5">
        <v>0</v>
      </c>
      <c r="F3473" s="5">
        <v>0</v>
      </c>
      <c r="G3473" s="5">
        <v>0</v>
      </c>
      <c r="H3473" s="4" t="s">
        <v>11</v>
      </c>
      <c r="I3473" s="5">
        <v>0</v>
      </c>
      <c r="J3473" s="4">
        <v>45916.294247685182</v>
      </c>
    </row>
    <row r="3474" spans="1:10" x14ac:dyDescent="0.2">
      <c r="A3474" s="2" t="s">
        <v>10</v>
      </c>
      <c r="B3474" s="3" t="str">
        <f t="shared" si="64"/>
        <v>France - HCP Survey Email - June 2025</v>
      </c>
      <c r="C3474" s="3" t="str">
        <f>HYPERLINK("https://otsuka-europe-crm.veevavault.com/ui/#object/sent_email__v/VBLZ025E82GNPVQ", "SE-000275209")</f>
        <v>SE-000275209</v>
      </c>
      <c r="D3474" s="4" t="s">
        <v>11</v>
      </c>
      <c r="E3474" s="5">
        <v>0</v>
      </c>
      <c r="F3474" s="5">
        <v>0</v>
      </c>
      <c r="G3474" s="5">
        <v>0</v>
      </c>
      <c r="H3474" s="4" t="s">
        <v>11</v>
      </c>
      <c r="I3474" s="5">
        <v>0</v>
      </c>
      <c r="J3474" s="4">
        <v>45916.294479166667</v>
      </c>
    </row>
    <row r="3475" spans="1:10" x14ac:dyDescent="0.2">
      <c r="A3475" s="2" t="s">
        <v>10</v>
      </c>
      <c r="B3475" s="3" t="str">
        <f t="shared" si="64"/>
        <v>France - HCP Survey Email - June 2025</v>
      </c>
      <c r="C3475" s="3" t="str">
        <f>HYPERLINK("https://otsuka-europe-crm.veevavault.com/ui/#object/sent_email__v/VBLZ025E82GNPVR", "SE-000275210")</f>
        <v>SE-000275210</v>
      </c>
      <c r="D3475" s="4" t="s">
        <v>11</v>
      </c>
      <c r="E3475" s="5">
        <v>0</v>
      </c>
      <c r="F3475" s="5">
        <v>0</v>
      </c>
      <c r="G3475" s="5">
        <v>0</v>
      </c>
      <c r="H3475" s="4" t="s">
        <v>11</v>
      </c>
      <c r="I3475" s="5">
        <v>0</v>
      </c>
      <c r="J3475" s="4">
        <v>45916.294861111113</v>
      </c>
    </row>
    <row r="3476" spans="1:10" x14ac:dyDescent="0.2">
      <c r="A3476" s="2" t="s">
        <v>10</v>
      </c>
      <c r="B3476" s="3" t="str">
        <f t="shared" si="64"/>
        <v>France - HCP Survey Email - June 2025</v>
      </c>
      <c r="C3476" s="3" t="str">
        <f>HYPERLINK("https://otsuka-europe-crm.veevavault.com/ui/#object/sent_email__v/VBLZ025E82GNPVS", "SE-000275211")</f>
        <v>SE-000275211</v>
      </c>
      <c r="D3476" s="4" t="s">
        <v>11</v>
      </c>
      <c r="E3476" s="5">
        <v>0</v>
      </c>
      <c r="F3476" s="5">
        <v>0</v>
      </c>
      <c r="G3476" s="5">
        <v>0</v>
      </c>
      <c r="H3476" s="4" t="s">
        <v>11</v>
      </c>
      <c r="I3476" s="5">
        <v>0</v>
      </c>
      <c r="J3476" s="4">
        <v>45916.294282407405</v>
      </c>
    </row>
    <row r="3477" spans="1:10" x14ac:dyDescent="0.2">
      <c r="A3477" s="2" t="s">
        <v>10</v>
      </c>
      <c r="B3477" s="3" t="str">
        <f t="shared" si="64"/>
        <v>France - HCP Survey Email - June 2025</v>
      </c>
      <c r="C3477" s="3" t="str">
        <f>HYPERLINK("https://otsuka-europe-crm.veevavault.com/ui/#object/sent_email__v/VBLZ025E82GNPVT", "SE-000275212")</f>
        <v>SE-000275212</v>
      </c>
      <c r="D3477" s="4" t="s">
        <v>11</v>
      </c>
      <c r="E3477" s="5">
        <v>0</v>
      </c>
      <c r="F3477" s="5">
        <v>0</v>
      </c>
      <c r="G3477" s="5">
        <v>0</v>
      </c>
      <c r="H3477" s="4" t="s">
        <v>11</v>
      </c>
      <c r="I3477" s="5">
        <v>0</v>
      </c>
      <c r="J3477" s="4">
        <v>45916.294432870367</v>
      </c>
    </row>
    <row r="3478" spans="1:10" x14ac:dyDescent="0.2">
      <c r="A3478" s="2" t="s">
        <v>10</v>
      </c>
      <c r="B3478" s="3" t="str">
        <f t="shared" si="64"/>
        <v>France - HCP Survey Email - June 2025</v>
      </c>
      <c r="C3478" s="3" t="str">
        <f>HYPERLINK("https://otsuka-europe-crm.veevavault.com/ui/#object/sent_email__v/VBLZ025E82GNPVU", "SE-000275213")</f>
        <v>SE-000275213</v>
      </c>
      <c r="D3478" s="4" t="s">
        <v>11</v>
      </c>
      <c r="E3478" s="5">
        <v>0</v>
      </c>
      <c r="F3478" s="5">
        <v>0</v>
      </c>
      <c r="G3478" s="5">
        <v>0</v>
      </c>
      <c r="H3478" s="4" t="s">
        <v>11</v>
      </c>
      <c r="I3478" s="5">
        <v>0</v>
      </c>
      <c r="J3478" s="4">
        <v>45916.294583333336</v>
      </c>
    </row>
    <row r="3479" spans="1:10" x14ac:dyDescent="0.2">
      <c r="A3479" s="2" t="s">
        <v>10</v>
      </c>
      <c r="B3479" s="3" t="str">
        <f t="shared" si="64"/>
        <v>France - HCP Survey Email - June 2025</v>
      </c>
      <c r="C3479" s="3" t="str">
        <f>HYPERLINK("https://otsuka-europe-crm.veevavault.com/ui/#object/sent_email__v/VBLZ025E82GNPVV", "SE-000275214")</f>
        <v>SE-000275214</v>
      </c>
      <c r="D3479" s="4" t="s">
        <v>11</v>
      </c>
      <c r="E3479" s="5">
        <v>0</v>
      </c>
      <c r="F3479" s="5">
        <v>0</v>
      </c>
      <c r="G3479" s="5">
        <v>0</v>
      </c>
      <c r="H3479" s="4" t="s">
        <v>11</v>
      </c>
      <c r="I3479" s="5">
        <v>0</v>
      </c>
      <c r="J3479" s="4">
        <v>45916.294918981483</v>
      </c>
    </row>
    <row r="3480" spans="1:10" x14ac:dyDescent="0.2">
      <c r="A3480" s="2" t="s">
        <v>10</v>
      </c>
      <c r="B3480" s="3" t="str">
        <f t="shared" si="64"/>
        <v>France - HCP Survey Email - June 2025</v>
      </c>
      <c r="C3480" s="3" t="str">
        <f>HYPERLINK("https://otsuka-europe-crm.veevavault.com/ui/#object/sent_email__v/VBLZ025E82GNPVW", "SE-000275215")</f>
        <v>SE-000275215</v>
      </c>
      <c r="D3480" s="4" t="s">
        <v>11</v>
      </c>
      <c r="E3480" s="5">
        <v>0</v>
      </c>
      <c r="F3480" s="5">
        <v>0</v>
      </c>
      <c r="G3480" s="5">
        <v>0</v>
      </c>
      <c r="H3480" s="4" t="s">
        <v>11</v>
      </c>
      <c r="I3480" s="5">
        <v>0</v>
      </c>
      <c r="J3480" s="4">
        <v>45916.294351851851</v>
      </c>
    </row>
    <row r="3481" spans="1:10" x14ac:dyDescent="0.2">
      <c r="A3481" s="2" t="s">
        <v>10</v>
      </c>
      <c r="B3481" s="3" t="str">
        <f t="shared" si="64"/>
        <v>France - HCP Survey Email - June 2025</v>
      </c>
      <c r="C3481" s="3" t="str">
        <f>HYPERLINK("https://otsuka-europe-crm.veevavault.com/ui/#object/sent_email__v/VBLZ025E82GNPVX", "SE-000275216")</f>
        <v>SE-000275216</v>
      </c>
      <c r="D3481" s="4" t="s">
        <v>11</v>
      </c>
      <c r="E3481" s="5">
        <v>0</v>
      </c>
      <c r="F3481" s="5">
        <v>0</v>
      </c>
      <c r="G3481" s="5">
        <v>0</v>
      </c>
      <c r="H3481" s="4" t="s">
        <v>11</v>
      </c>
      <c r="I3481" s="5">
        <v>0</v>
      </c>
      <c r="J3481" s="4">
        <v>45916.294525462959</v>
      </c>
    </row>
    <row r="3482" spans="1:10" x14ac:dyDescent="0.2">
      <c r="A3482" s="2" t="s">
        <v>10</v>
      </c>
      <c r="B3482" s="3" t="str">
        <f t="shared" si="64"/>
        <v>France - HCP Survey Email - June 2025</v>
      </c>
      <c r="C3482" s="3" t="str">
        <f>HYPERLINK("https://otsuka-europe-crm.veevavault.com/ui/#object/sent_email__v/VBLZ025E82GNPVY", "SE-000275217")</f>
        <v>SE-000275217</v>
      </c>
      <c r="D3482" s="4">
        <v>45916.507743055554</v>
      </c>
      <c r="E3482" s="5">
        <v>1</v>
      </c>
      <c r="F3482" s="5">
        <v>1</v>
      </c>
      <c r="G3482" s="5">
        <v>0</v>
      </c>
      <c r="H3482" s="4" t="s">
        <v>11</v>
      </c>
      <c r="I3482" s="5">
        <v>0</v>
      </c>
      <c r="J3482" s="4">
        <v>45916.294849537036</v>
      </c>
    </row>
    <row r="3483" spans="1:10" x14ac:dyDescent="0.2">
      <c r="A3483" s="2" t="s">
        <v>10</v>
      </c>
      <c r="B3483" s="3" t="str">
        <f t="shared" si="64"/>
        <v>France - HCP Survey Email - June 2025</v>
      </c>
      <c r="C3483" s="3" t="str">
        <f>HYPERLINK("https://otsuka-europe-crm.veevavault.com/ui/#object/sent_email__v/VBLZ025E82GNPVZ", "SE-000275218")</f>
        <v>SE-000275218</v>
      </c>
      <c r="D3483" s="4" t="s">
        <v>11</v>
      </c>
      <c r="E3483" s="5">
        <v>0</v>
      </c>
      <c r="F3483" s="5">
        <v>0</v>
      </c>
      <c r="G3483" s="5">
        <v>0</v>
      </c>
      <c r="H3483" s="4" t="s">
        <v>11</v>
      </c>
      <c r="I3483" s="5">
        <v>0</v>
      </c>
      <c r="J3483" s="4">
        <v>45916.294872685183</v>
      </c>
    </row>
    <row r="3484" spans="1:10" x14ac:dyDescent="0.2">
      <c r="A3484" s="2" t="s">
        <v>10</v>
      </c>
      <c r="B3484" s="3" t="str">
        <f t="shared" si="64"/>
        <v>France - HCP Survey Email - June 2025</v>
      </c>
      <c r="C3484" s="3" t="str">
        <f>HYPERLINK("https://otsuka-europe-crm.veevavault.com/ui/#object/sent_email__v/VBLZ025E82GNPW0", "SE-000275219")</f>
        <v>SE-000275219</v>
      </c>
      <c r="D3484" s="4">
        <v>45916.299907407411</v>
      </c>
      <c r="E3484" s="5">
        <v>1</v>
      </c>
      <c r="F3484" s="5">
        <v>1</v>
      </c>
      <c r="G3484" s="5">
        <v>1</v>
      </c>
      <c r="H3484" s="4">
        <v>45916.299907407411</v>
      </c>
      <c r="I3484" s="5">
        <v>1</v>
      </c>
      <c r="J3484" s="4">
        <v>45916.294259259259</v>
      </c>
    </row>
    <row r="3485" spans="1:10" x14ac:dyDescent="0.2">
      <c r="A3485" s="2" t="s">
        <v>10</v>
      </c>
      <c r="B3485" s="3" t="str">
        <f t="shared" si="64"/>
        <v>France - HCP Survey Email - June 2025</v>
      </c>
      <c r="C3485" s="3" t="str">
        <f>HYPERLINK("https://otsuka-europe-crm.veevavault.com/ui/#object/sent_email__v/VBLZ025E82GNPW2", "SE-000275221")</f>
        <v>SE-000275221</v>
      </c>
      <c r="D3485" s="4">
        <v>45916.474305555559</v>
      </c>
      <c r="E3485" s="5">
        <v>1</v>
      </c>
      <c r="F3485" s="5">
        <v>1</v>
      </c>
      <c r="G3485" s="5">
        <v>0</v>
      </c>
      <c r="H3485" s="4" t="s">
        <v>11</v>
      </c>
      <c r="I3485" s="5">
        <v>0</v>
      </c>
      <c r="J3485" s="4">
        <v>45916.29483796296</v>
      </c>
    </row>
    <row r="3486" spans="1:10" x14ac:dyDescent="0.2">
      <c r="A3486" s="2" t="s">
        <v>10</v>
      </c>
      <c r="B3486" s="3" t="str">
        <f t="shared" si="64"/>
        <v>France - HCP Survey Email - June 2025</v>
      </c>
      <c r="C3486" s="3" t="str">
        <f>HYPERLINK("https://otsuka-europe-crm.veevavault.com/ui/#object/sent_email__v/VBLZ025E82GNPW3", "SE-000275222")</f>
        <v>SE-000275222</v>
      </c>
      <c r="D3486" s="4" t="s">
        <v>11</v>
      </c>
      <c r="E3486" s="5">
        <v>0</v>
      </c>
      <c r="F3486" s="5">
        <v>0</v>
      </c>
      <c r="G3486" s="5">
        <v>0</v>
      </c>
      <c r="H3486" s="4" t="s">
        <v>11</v>
      </c>
      <c r="I3486" s="5">
        <v>0</v>
      </c>
      <c r="J3486" s="4">
        <v>45916.294282407405</v>
      </c>
    </row>
    <row r="3487" spans="1:10" x14ac:dyDescent="0.2">
      <c r="A3487" s="2" t="s">
        <v>10</v>
      </c>
      <c r="B3487" s="3" t="str">
        <f t="shared" si="64"/>
        <v>France - HCP Survey Email - June 2025</v>
      </c>
      <c r="C3487" s="3" t="str">
        <f>HYPERLINK("https://otsuka-europe-crm.veevavault.com/ui/#object/sent_email__v/VBLZ025E82GNPW4", "SE-000275223")</f>
        <v>SE-000275223</v>
      </c>
      <c r="D3487" s="4" t="s">
        <v>11</v>
      </c>
      <c r="E3487" s="5">
        <v>0</v>
      </c>
      <c r="F3487" s="5">
        <v>0</v>
      </c>
      <c r="G3487" s="5">
        <v>0</v>
      </c>
      <c r="H3487" s="4" t="s">
        <v>11</v>
      </c>
      <c r="I3487" s="5">
        <v>0</v>
      </c>
      <c r="J3487" s="4">
        <v>45916.294479166667</v>
      </c>
    </row>
    <row r="3488" spans="1:10" x14ac:dyDescent="0.2">
      <c r="A3488" s="2" t="s">
        <v>10</v>
      </c>
      <c r="B3488" s="3" t="str">
        <f t="shared" si="64"/>
        <v>France - HCP Survey Email - June 2025</v>
      </c>
      <c r="C3488" s="3" t="str">
        <f>HYPERLINK("https://otsuka-europe-crm.veevavault.com/ui/#object/sent_email__v/VBLZ025E82GNPW5", "SE-000275224")</f>
        <v>SE-000275224</v>
      </c>
      <c r="D3488" s="4" t="s">
        <v>11</v>
      </c>
      <c r="E3488" s="5">
        <v>0</v>
      </c>
      <c r="F3488" s="5">
        <v>0</v>
      </c>
      <c r="G3488" s="5">
        <v>0</v>
      </c>
      <c r="H3488" s="4" t="s">
        <v>11</v>
      </c>
      <c r="I3488" s="5">
        <v>0</v>
      </c>
      <c r="J3488" s="4">
        <v>45916.294537037036</v>
      </c>
    </row>
    <row r="3489" spans="1:10" x14ac:dyDescent="0.2">
      <c r="A3489" s="2" t="s">
        <v>10</v>
      </c>
      <c r="B3489" s="3" t="str">
        <f t="shared" si="64"/>
        <v>France - HCP Survey Email - June 2025</v>
      </c>
      <c r="C3489" s="3" t="str">
        <f>HYPERLINK("https://otsuka-europe-crm.veevavault.com/ui/#object/sent_email__v/VBLZ025E82GNPW7", "SE-000275226")</f>
        <v>SE-000275226</v>
      </c>
      <c r="D3489" s="4" t="s">
        <v>11</v>
      </c>
      <c r="E3489" s="5">
        <v>0</v>
      </c>
      <c r="F3489" s="5">
        <v>0</v>
      </c>
      <c r="G3489" s="5">
        <v>0</v>
      </c>
      <c r="H3489" s="4" t="s">
        <v>11</v>
      </c>
      <c r="I3489" s="5">
        <v>0</v>
      </c>
      <c r="J3489" s="4">
        <v>45916.29420138889</v>
      </c>
    </row>
    <row r="3490" spans="1:10" x14ac:dyDescent="0.2">
      <c r="A3490" s="2" t="s">
        <v>10</v>
      </c>
      <c r="B3490" s="3" t="str">
        <f t="shared" si="64"/>
        <v>France - HCP Survey Email - June 2025</v>
      </c>
      <c r="C3490" s="3" t="str">
        <f>HYPERLINK("https://otsuka-europe-crm.veevavault.com/ui/#object/sent_email__v/VBLZ025E82GNPW8", "SE-000275227")</f>
        <v>SE-000275227</v>
      </c>
      <c r="D3490" s="4" t="s">
        <v>11</v>
      </c>
      <c r="E3490" s="5">
        <v>0</v>
      </c>
      <c r="F3490" s="5">
        <v>0</v>
      </c>
      <c r="G3490" s="5">
        <v>0</v>
      </c>
      <c r="H3490" s="4" t="s">
        <v>11</v>
      </c>
      <c r="I3490" s="5">
        <v>0</v>
      </c>
      <c r="J3490" s="4">
        <v>45916.294560185182</v>
      </c>
    </row>
    <row r="3491" spans="1:10" x14ac:dyDescent="0.2">
      <c r="A3491" s="2" t="s">
        <v>10</v>
      </c>
      <c r="B3491" s="3" t="str">
        <f t="shared" si="64"/>
        <v>France - HCP Survey Email - June 2025</v>
      </c>
      <c r="C3491" s="3" t="str">
        <f>HYPERLINK("https://otsuka-europe-crm.veevavault.com/ui/#object/sent_email__v/VBLZ025E82GNPW9", "SE-000275228")</f>
        <v>SE-000275228</v>
      </c>
      <c r="D3491" s="4" t="s">
        <v>11</v>
      </c>
      <c r="E3491" s="5">
        <v>0</v>
      </c>
      <c r="F3491" s="5">
        <v>0</v>
      </c>
      <c r="G3491" s="5">
        <v>0</v>
      </c>
      <c r="H3491" s="4" t="s">
        <v>11</v>
      </c>
      <c r="I3491" s="5">
        <v>0</v>
      </c>
      <c r="J3491" s="4">
        <v>45916.29478009259</v>
      </c>
    </row>
    <row r="3492" spans="1:10" x14ac:dyDescent="0.2">
      <c r="A3492" s="2" t="s">
        <v>10</v>
      </c>
      <c r="B3492" s="3" t="str">
        <f t="shared" si="64"/>
        <v>France - HCP Survey Email - June 2025</v>
      </c>
      <c r="C3492" s="3" t="str">
        <f>HYPERLINK("https://otsuka-europe-crm.veevavault.com/ui/#object/sent_email__v/VBLZ025E82GNPWA", "SE-000275229")</f>
        <v>SE-000275229</v>
      </c>
      <c r="D3492" s="4" t="s">
        <v>11</v>
      </c>
      <c r="E3492" s="5">
        <v>0</v>
      </c>
      <c r="F3492" s="5">
        <v>0</v>
      </c>
      <c r="G3492" s="5">
        <v>0</v>
      </c>
      <c r="H3492" s="4" t="s">
        <v>11</v>
      </c>
      <c r="I3492" s="5">
        <v>0</v>
      </c>
      <c r="J3492" s="4">
        <v>45916.294999999998</v>
      </c>
    </row>
    <row r="3493" spans="1:10" x14ac:dyDescent="0.2">
      <c r="A3493" s="2" t="s">
        <v>10</v>
      </c>
      <c r="B3493" s="3" t="str">
        <f t="shared" si="64"/>
        <v>France - HCP Survey Email - June 2025</v>
      </c>
      <c r="C3493" s="3" t="str">
        <f>HYPERLINK("https://otsuka-europe-crm.veevavault.com/ui/#object/sent_email__v/VBLZ025E82GNPWC", "SE-000275231")</f>
        <v>SE-000275231</v>
      </c>
      <c r="D3493" s="4" t="s">
        <v>11</v>
      </c>
      <c r="E3493" s="5">
        <v>0</v>
      </c>
      <c r="F3493" s="5">
        <v>0</v>
      </c>
      <c r="G3493" s="5">
        <v>0</v>
      </c>
      <c r="H3493" s="4" t="s">
        <v>11</v>
      </c>
      <c r="I3493" s="5">
        <v>0</v>
      </c>
      <c r="J3493" s="4">
        <v>45916.294479166667</v>
      </c>
    </row>
    <row r="3494" spans="1:10" x14ac:dyDescent="0.2">
      <c r="A3494" s="2" t="s">
        <v>10</v>
      </c>
      <c r="B3494" s="3" t="str">
        <f t="shared" si="64"/>
        <v>France - HCP Survey Email - June 2025</v>
      </c>
      <c r="C3494" s="3" t="str">
        <f>HYPERLINK("https://otsuka-europe-crm.veevavault.com/ui/#object/sent_email__v/VBLZ025E82GNPWE", "SE-000275233")</f>
        <v>SE-000275233</v>
      </c>
      <c r="D3494" s="4" t="s">
        <v>11</v>
      </c>
      <c r="E3494" s="5">
        <v>0</v>
      </c>
      <c r="F3494" s="5">
        <v>0</v>
      </c>
      <c r="G3494" s="5">
        <v>0</v>
      </c>
      <c r="H3494" s="4" t="s">
        <v>11</v>
      </c>
      <c r="I3494" s="5">
        <v>0</v>
      </c>
      <c r="J3494" s="4">
        <v>45916.294907407406</v>
      </c>
    </row>
    <row r="3495" spans="1:10" x14ac:dyDescent="0.2">
      <c r="A3495" s="2" t="s">
        <v>10</v>
      </c>
      <c r="B3495" s="3" t="str">
        <f t="shared" si="64"/>
        <v>France - HCP Survey Email - June 2025</v>
      </c>
      <c r="C3495" s="3" t="str">
        <f>HYPERLINK("https://otsuka-europe-crm.veevavault.com/ui/#object/sent_email__v/VBLZ025E82GNPWF", "SE-000275234")</f>
        <v>SE-000275234</v>
      </c>
      <c r="D3495" s="4" t="s">
        <v>11</v>
      </c>
      <c r="E3495" s="5">
        <v>0</v>
      </c>
      <c r="F3495" s="5">
        <v>0</v>
      </c>
      <c r="G3495" s="5">
        <v>0</v>
      </c>
      <c r="H3495" s="4" t="s">
        <v>11</v>
      </c>
      <c r="I3495" s="5">
        <v>0</v>
      </c>
      <c r="J3495" s="4">
        <v>45916.294270833336</v>
      </c>
    </row>
    <row r="3496" spans="1:10" x14ac:dyDescent="0.2">
      <c r="A3496" s="2" t="s">
        <v>10</v>
      </c>
      <c r="B3496" s="3" t="str">
        <f t="shared" si="64"/>
        <v>France - HCP Survey Email - June 2025</v>
      </c>
      <c r="C3496" s="3" t="str">
        <f>HYPERLINK("https://otsuka-europe-crm.veevavault.com/ui/#object/sent_email__v/VBLZ025E82GNPWG", "SE-000275235")</f>
        <v>SE-000275235</v>
      </c>
      <c r="D3496" s="4" t="s">
        <v>11</v>
      </c>
      <c r="E3496" s="5">
        <v>0</v>
      </c>
      <c r="F3496" s="5">
        <v>0</v>
      </c>
      <c r="G3496" s="5">
        <v>0</v>
      </c>
      <c r="H3496" s="4" t="s">
        <v>11</v>
      </c>
      <c r="I3496" s="5">
        <v>0</v>
      </c>
      <c r="J3496" s="4">
        <v>45916.294548611113</v>
      </c>
    </row>
    <row r="3497" spans="1:10" x14ac:dyDescent="0.2">
      <c r="A3497" s="2" t="s">
        <v>10</v>
      </c>
      <c r="B3497" s="3" t="str">
        <f t="shared" si="64"/>
        <v>France - HCP Survey Email - June 2025</v>
      </c>
      <c r="C3497" s="3" t="str">
        <f>HYPERLINK("https://otsuka-europe-crm.veevavault.com/ui/#object/sent_email__v/VBLZ025E82GNPWH", "SE-000275236")</f>
        <v>SE-000275236</v>
      </c>
      <c r="D3497" s="4" t="s">
        <v>11</v>
      </c>
      <c r="E3497" s="5">
        <v>0</v>
      </c>
      <c r="F3497" s="5">
        <v>0</v>
      </c>
      <c r="G3497" s="5">
        <v>0</v>
      </c>
      <c r="H3497" s="4" t="s">
        <v>11</v>
      </c>
      <c r="I3497" s="5">
        <v>0</v>
      </c>
      <c r="J3497" s="4">
        <v>45916.294872685183</v>
      </c>
    </row>
    <row r="3498" spans="1:10" x14ac:dyDescent="0.2">
      <c r="A3498" s="2" t="s">
        <v>10</v>
      </c>
      <c r="B3498" s="3" t="str">
        <f t="shared" si="64"/>
        <v>France - HCP Survey Email - June 2025</v>
      </c>
      <c r="C3498" s="3" t="str">
        <f>HYPERLINK("https://otsuka-europe-crm.veevavault.com/ui/#object/sent_email__v/VBLZ025E82GNPWI", "SE-000275237")</f>
        <v>SE-000275237</v>
      </c>
      <c r="D3498" s="4" t="s">
        <v>11</v>
      </c>
      <c r="E3498" s="5">
        <v>0</v>
      </c>
      <c r="F3498" s="5">
        <v>0</v>
      </c>
      <c r="G3498" s="5">
        <v>0</v>
      </c>
      <c r="H3498" s="4" t="s">
        <v>11</v>
      </c>
      <c r="I3498" s="5">
        <v>0</v>
      </c>
      <c r="J3498" s="4">
        <v>45916.294236111113</v>
      </c>
    </row>
    <row r="3499" spans="1:10" x14ac:dyDescent="0.2">
      <c r="A3499" s="2" t="s">
        <v>10</v>
      </c>
      <c r="B3499" s="3" t="str">
        <f t="shared" si="64"/>
        <v>France - HCP Survey Email - June 2025</v>
      </c>
      <c r="C3499" s="3" t="str">
        <f>HYPERLINK("https://otsuka-europe-crm.veevavault.com/ui/#object/sent_email__v/VBLZ025E82GNPWK", "SE-000275239")</f>
        <v>SE-000275239</v>
      </c>
      <c r="D3499" s="4" t="s">
        <v>11</v>
      </c>
      <c r="E3499" s="5">
        <v>0</v>
      </c>
      <c r="F3499" s="5">
        <v>0</v>
      </c>
      <c r="G3499" s="5">
        <v>0</v>
      </c>
      <c r="H3499" s="4" t="s">
        <v>11</v>
      </c>
      <c r="I3499" s="5">
        <v>0</v>
      </c>
      <c r="J3499" s="4">
        <v>45916.294560185182</v>
      </c>
    </row>
    <row r="3500" spans="1:10" x14ac:dyDescent="0.2">
      <c r="A3500" s="2" t="s">
        <v>10</v>
      </c>
      <c r="B3500" s="3" t="str">
        <f t="shared" si="64"/>
        <v>France - HCP Survey Email - June 2025</v>
      </c>
      <c r="C3500" s="3" t="str">
        <f>HYPERLINK("https://otsuka-europe-crm.veevavault.com/ui/#object/sent_email__v/VBLZ025E82GNPWM", "SE-000275241")</f>
        <v>SE-000275241</v>
      </c>
      <c r="D3500" s="4" t="s">
        <v>11</v>
      </c>
      <c r="E3500" s="5">
        <v>0</v>
      </c>
      <c r="F3500" s="5">
        <v>0</v>
      </c>
      <c r="G3500" s="5">
        <v>0</v>
      </c>
      <c r="H3500" s="4" t="s">
        <v>11</v>
      </c>
      <c r="I3500" s="5">
        <v>0</v>
      </c>
      <c r="J3500" s="4">
        <v>45916.294293981482</v>
      </c>
    </row>
    <row r="3501" spans="1:10" x14ac:dyDescent="0.2">
      <c r="A3501" s="2" t="s">
        <v>10</v>
      </c>
      <c r="B3501" s="3" t="str">
        <f t="shared" si="64"/>
        <v>France - HCP Survey Email - June 2025</v>
      </c>
      <c r="C3501" s="3" t="str">
        <f>HYPERLINK("https://otsuka-europe-crm.veevavault.com/ui/#object/sent_email__v/VBLZ025E82GNPWN", "SE-000275242")</f>
        <v>SE-000275242</v>
      </c>
      <c r="D3501" s="4" t="s">
        <v>11</v>
      </c>
      <c r="E3501" s="5">
        <v>0</v>
      </c>
      <c r="F3501" s="5">
        <v>0</v>
      </c>
      <c r="G3501" s="5">
        <v>0</v>
      </c>
      <c r="H3501" s="4" t="s">
        <v>11</v>
      </c>
      <c r="I3501" s="5">
        <v>0</v>
      </c>
      <c r="J3501" s="4">
        <v>45916.294502314813</v>
      </c>
    </row>
    <row r="3502" spans="1:10" x14ac:dyDescent="0.2">
      <c r="A3502" s="2" t="s">
        <v>10</v>
      </c>
      <c r="B3502" s="3" t="str">
        <f t="shared" si="64"/>
        <v>France - HCP Survey Email - June 2025</v>
      </c>
      <c r="C3502" s="3" t="str">
        <f>HYPERLINK("https://otsuka-europe-crm.veevavault.com/ui/#object/sent_email__v/VBLZ025E82GNPWO", "SE-000275243")</f>
        <v>SE-000275243</v>
      </c>
      <c r="D3502" s="4">
        <v>45916.340740740743</v>
      </c>
      <c r="E3502" s="5">
        <v>1</v>
      </c>
      <c r="F3502" s="5">
        <v>1</v>
      </c>
      <c r="G3502" s="5">
        <v>0</v>
      </c>
      <c r="H3502" s="4" t="s">
        <v>11</v>
      </c>
      <c r="I3502" s="5">
        <v>0</v>
      </c>
      <c r="J3502" s="4">
        <v>45916.294745370367</v>
      </c>
    </row>
    <row r="3503" spans="1:10" x14ac:dyDescent="0.2">
      <c r="A3503" s="2" t="s">
        <v>10</v>
      </c>
      <c r="B3503" s="3" t="str">
        <f t="shared" si="64"/>
        <v>France - HCP Survey Email - June 2025</v>
      </c>
      <c r="C3503" s="3" t="str">
        <f>HYPERLINK("https://otsuka-europe-crm.veevavault.com/ui/#object/sent_email__v/VBLZ025E82GNPWP", "SE-000275244")</f>
        <v>SE-000275244</v>
      </c>
      <c r="D3503" s="4" t="s">
        <v>11</v>
      </c>
      <c r="E3503" s="5">
        <v>0</v>
      </c>
      <c r="F3503" s="5">
        <v>0</v>
      </c>
      <c r="G3503" s="5">
        <v>0</v>
      </c>
      <c r="H3503" s="4" t="s">
        <v>11</v>
      </c>
      <c r="I3503" s="5">
        <v>0</v>
      </c>
      <c r="J3503" s="4">
        <v>45916.294895833336</v>
      </c>
    </row>
    <row r="3504" spans="1:10" x14ac:dyDescent="0.2">
      <c r="A3504" s="2" t="s">
        <v>10</v>
      </c>
      <c r="B3504" s="3" t="str">
        <f t="shared" si="64"/>
        <v>France - HCP Survey Email - June 2025</v>
      </c>
      <c r="C3504" s="3" t="str">
        <f>HYPERLINK("https://otsuka-europe-crm.veevavault.com/ui/#object/sent_email__v/VBLZ025E82GNPWQ", "SE-000275245")</f>
        <v>SE-000275245</v>
      </c>
      <c r="D3504" s="4" t="s">
        <v>11</v>
      </c>
      <c r="E3504" s="5">
        <v>0</v>
      </c>
      <c r="F3504" s="5">
        <v>0</v>
      </c>
      <c r="G3504" s="5">
        <v>0</v>
      </c>
      <c r="H3504" s="4" t="s">
        <v>11</v>
      </c>
      <c r="I3504" s="5">
        <v>0</v>
      </c>
      <c r="J3504" s="4">
        <v>45916.294259259259</v>
      </c>
    </row>
    <row r="3505" spans="1:10" x14ac:dyDescent="0.2">
      <c r="A3505" s="2" t="s">
        <v>10</v>
      </c>
      <c r="B3505" s="3" t="str">
        <f t="shared" si="64"/>
        <v>France - HCP Survey Email - June 2025</v>
      </c>
      <c r="C3505" s="3" t="str">
        <f>HYPERLINK("https://otsuka-europe-crm.veevavault.com/ui/#object/sent_email__v/VBLZ025E82GNPWR", "SE-000275246")</f>
        <v>SE-000275246</v>
      </c>
      <c r="D3505" s="4" t="s">
        <v>11</v>
      </c>
      <c r="E3505" s="5">
        <v>0</v>
      </c>
      <c r="F3505" s="5">
        <v>0</v>
      </c>
      <c r="G3505" s="5">
        <v>0</v>
      </c>
      <c r="H3505" s="4" t="s">
        <v>11</v>
      </c>
      <c r="I3505" s="5">
        <v>0</v>
      </c>
      <c r="J3505" s="4">
        <v>45916.294560185182</v>
      </c>
    </row>
    <row r="3506" spans="1:10" x14ac:dyDescent="0.2">
      <c r="A3506" s="2" t="s">
        <v>10</v>
      </c>
      <c r="B3506" s="3" t="str">
        <f t="shared" si="64"/>
        <v>France - HCP Survey Email - June 2025</v>
      </c>
      <c r="C3506" s="3" t="str">
        <f>HYPERLINK("https://otsuka-europe-crm.veevavault.com/ui/#object/sent_email__v/VBLZ025E82GNPWS", "SE-000275247")</f>
        <v>SE-000275247</v>
      </c>
      <c r="D3506" s="4" t="s">
        <v>11</v>
      </c>
      <c r="E3506" s="5">
        <v>0</v>
      </c>
      <c r="F3506" s="5">
        <v>0</v>
      </c>
      <c r="G3506" s="5">
        <v>0</v>
      </c>
      <c r="H3506" s="4" t="s">
        <v>11</v>
      </c>
      <c r="I3506" s="5">
        <v>0</v>
      </c>
      <c r="J3506" s="4">
        <v>45916.29482638889</v>
      </c>
    </row>
    <row r="3507" spans="1:10" x14ac:dyDescent="0.2">
      <c r="A3507" s="2" t="s">
        <v>10</v>
      </c>
      <c r="B3507" s="3" t="str">
        <f t="shared" si="64"/>
        <v>France - HCP Survey Email - June 2025</v>
      </c>
      <c r="C3507" s="3" t="str">
        <f>HYPERLINK("https://otsuka-europe-crm.veevavault.com/ui/#object/sent_email__v/VBLZ025E82GNPWT", "SE-000275248")</f>
        <v>SE-000275248</v>
      </c>
      <c r="D3507" s="4" t="s">
        <v>11</v>
      </c>
      <c r="E3507" s="5">
        <v>0</v>
      </c>
      <c r="F3507" s="5">
        <v>0</v>
      </c>
      <c r="G3507" s="5">
        <v>0</v>
      </c>
      <c r="H3507" s="4" t="s">
        <v>11</v>
      </c>
      <c r="I3507" s="5">
        <v>0</v>
      </c>
      <c r="J3507" s="4">
        <v>45916.294224537036</v>
      </c>
    </row>
    <row r="3508" spans="1:10" x14ac:dyDescent="0.2">
      <c r="A3508" s="2" t="s">
        <v>10</v>
      </c>
      <c r="B3508" s="3" t="str">
        <f t="shared" si="64"/>
        <v>France - HCP Survey Email - June 2025</v>
      </c>
      <c r="C3508" s="3" t="str">
        <f>HYPERLINK("https://otsuka-europe-crm.veevavault.com/ui/#object/sent_email__v/VBLZ025E82GNPWU", "SE-000275249")</f>
        <v>SE-000275249</v>
      </c>
      <c r="D3508" s="4" t="s">
        <v>11</v>
      </c>
      <c r="E3508" s="5">
        <v>0</v>
      </c>
      <c r="F3508" s="5">
        <v>0</v>
      </c>
      <c r="G3508" s="5">
        <v>0</v>
      </c>
      <c r="H3508" s="4" t="s">
        <v>11</v>
      </c>
      <c r="I3508" s="5">
        <v>0</v>
      </c>
      <c r="J3508" s="4">
        <v>45916.294409722221</v>
      </c>
    </row>
    <row r="3509" spans="1:10" x14ac:dyDescent="0.2">
      <c r="A3509" s="2" t="s">
        <v>10</v>
      </c>
      <c r="B3509" s="3" t="str">
        <f t="shared" si="64"/>
        <v>France - HCP Survey Email - June 2025</v>
      </c>
      <c r="C3509" s="3" t="str">
        <f>HYPERLINK("https://otsuka-europe-crm.veevavault.com/ui/#object/sent_email__v/VBLZ025E82GNPWV", "SE-000275250")</f>
        <v>SE-000275250</v>
      </c>
      <c r="D3509" s="4" t="s">
        <v>11</v>
      </c>
      <c r="E3509" s="5">
        <v>0</v>
      </c>
      <c r="F3509" s="5">
        <v>0</v>
      </c>
      <c r="G3509" s="5">
        <v>0</v>
      </c>
      <c r="H3509" s="4" t="s">
        <v>11</v>
      </c>
      <c r="I3509" s="5">
        <v>0</v>
      </c>
      <c r="J3509" s="4">
        <v>45916.294583333336</v>
      </c>
    </row>
    <row r="3510" spans="1:10" x14ac:dyDescent="0.2">
      <c r="A3510" s="2" t="s">
        <v>10</v>
      </c>
      <c r="B3510" s="3" t="str">
        <f t="shared" si="64"/>
        <v>France - HCP Survey Email - June 2025</v>
      </c>
      <c r="C3510" s="3" t="str">
        <f>HYPERLINK("https://otsuka-europe-crm.veevavault.com/ui/#object/sent_email__v/VBLZ025E82GNPWW", "SE-000275251")</f>
        <v>SE-000275251</v>
      </c>
      <c r="D3510" s="4" t="s">
        <v>11</v>
      </c>
      <c r="E3510" s="5">
        <v>0</v>
      </c>
      <c r="F3510" s="5">
        <v>0</v>
      </c>
      <c r="G3510" s="5">
        <v>0</v>
      </c>
      <c r="H3510" s="4" t="s">
        <v>11</v>
      </c>
      <c r="I3510" s="5">
        <v>0</v>
      </c>
      <c r="J3510" s="4">
        <v>45916.29482638889</v>
      </c>
    </row>
    <row r="3511" spans="1:10" x14ac:dyDescent="0.2">
      <c r="A3511" s="2" t="s">
        <v>10</v>
      </c>
      <c r="B3511" s="3" t="str">
        <f t="shared" si="64"/>
        <v>France - HCP Survey Email - June 2025</v>
      </c>
      <c r="C3511" s="3" t="str">
        <f>HYPERLINK("https://otsuka-europe-crm.veevavault.com/ui/#object/sent_email__v/VBLZ025E82GNPWX", "SE-000275252")</f>
        <v>SE-000275252</v>
      </c>
      <c r="D3511" s="4" t="s">
        <v>11</v>
      </c>
      <c r="E3511" s="5">
        <v>0</v>
      </c>
      <c r="F3511" s="5">
        <v>0</v>
      </c>
      <c r="G3511" s="5">
        <v>0</v>
      </c>
      <c r="H3511" s="4" t="s">
        <v>11</v>
      </c>
      <c r="I3511" s="5">
        <v>0</v>
      </c>
      <c r="J3511" s="4">
        <v>45916.294270833336</v>
      </c>
    </row>
    <row r="3512" spans="1:10" x14ac:dyDescent="0.2">
      <c r="A3512" s="2" t="s">
        <v>10</v>
      </c>
      <c r="B3512" s="3" t="str">
        <f t="shared" si="64"/>
        <v>France - HCP Survey Email - June 2025</v>
      </c>
      <c r="C3512" s="3" t="str">
        <f>HYPERLINK("https://otsuka-europe-crm.veevavault.com/ui/#object/sent_email__v/VBLZ025E82GNPWY", "SE-000275253")</f>
        <v>SE-000275253</v>
      </c>
      <c r="D3512" s="4">
        <v>45916.29488425926</v>
      </c>
      <c r="E3512" s="5">
        <v>1</v>
      </c>
      <c r="F3512" s="5">
        <v>2</v>
      </c>
      <c r="G3512" s="5">
        <v>1</v>
      </c>
      <c r="H3512" s="4">
        <v>45916.29488425926</v>
      </c>
      <c r="I3512" s="5">
        <v>2</v>
      </c>
      <c r="J3512" s="4">
        <v>45916.294571759259</v>
      </c>
    </row>
    <row r="3513" spans="1:10" x14ac:dyDescent="0.2">
      <c r="A3513" s="2" t="s">
        <v>10</v>
      </c>
      <c r="B3513" s="3" t="str">
        <f t="shared" si="64"/>
        <v>France - HCP Survey Email - June 2025</v>
      </c>
      <c r="C3513" s="3" t="str">
        <f>HYPERLINK("https://otsuka-europe-crm.veevavault.com/ui/#object/sent_email__v/VBLZ025E82GNPWZ", "SE-000275254")</f>
        <v>SE-000275254</v>
      </c>
      <c r="D3513" s="4" t="s">
        <v>11</v>
      </c>
      <c r="E3513" s="5">
        <v>0</v>
      </c>
      <c r="F3513" s="5">
        <v>0</v>
      </c>
      <c r="G3513" s="5">
        <v>0</v>
      </c>
      <c r="H3513" s="4" t="s">
        <v>11</v>
      </c>
      <c r="I3513" s="5">
        <v>0</v>
      </c>
      <c r="J3513" s="4">
        <v>45916.29483796296</v>
      </c>
    </row>
    <row r="3514" spans="1:10" x14ac:dyDescent="0.2">
      <c r="A3514" s="2" t="s">
        <v>10</v>
      </c>
      <c r="B3514" s="3" t="str">
        <f t="shared" si="64"/>
        <v>France - HCP Survey Email - June 2025</v>
      </c>
      <c r="C3514" s="3" t="str">
        <f>HYPERLINK("https://otsuka-europe-crm.veevavault.com/ui/#object/sent_email__v/VBLZ025E82GNPX0", "SE-000275255")</f>
        <v>SE-000275255</v>
      </c>
      <c r="D3514" s="4" t="s">
        <v>11</v>
      </c>
      <c r="E3514" s="5">
        <v>0</v>
      </c>
      <c r="F3514" s="5">
        <v>0</v>
      </c>
      <c r="G3514" s="5">
        <v>0</v>
      </c>
      <c r="H3514" s="4" t="s">
        <v>11</v>
      </c>
      <c r="I3514" s="5">
        <v>0</v>
      </c>
      <c r="J3514" s="4">
        <v>45916.294942129629</v>
      </c>
    </row>
    <row r="3515" spans="1:10" x14ac:dyDescent="0.2">
      <c r="A3515" s="2" t="s">
        <v>10</v>
      </c>
      <c r="B3515" s="3" t="str">
        <f t="shared" si="64"/>
        <v>France - HCP Survey Email - June 2025</v>
      </c>
      <c r="C3515" s="3" t="str">
        <f>HYPERLINK("https://otsuka-europe-crm.veevavault.com/ui/#object/sent_email__v/VBLZ025E82GNPX1", "SE-000275256")</f>
        <v>SE-000275256</v>
      </c>
      <c r="D3515" s="4" t="s">
        <v>11</v>
      </c>
      <c r="E3515" s="5">
        <v>0</v>
      </c>
      <c r="F3515" s="5">
        <v>0</v>
      </c>
      <c r="G3515" s="5">
        <v>0</v>
      </c>
      <c r="H3515" s="4" t="s">
        <v>11</v>
      </c>
      <c r="I3515" s="5">
        <v>0</v>
      </c>
      <c r="J3515" s="4">
        <v>45916.294293981482</v>
      </c>
    </row>
    <row r="3516" spans="1:10" x14ac:dyDescent="0.2">
      <c r="A3516" s="2" t="s">
        <v>10</v>
      </c>
      <c r="B3516" s="3" t="str">
        <f t="shared" si="64"/>
        <v>France - HCP Survey Email - June 2025</v>
      </c>
      <c r="C3516" s="3" t="str">
        <f>HYPERLINK("https://otsuka-europe-crm.veevavault.com/ui/#object/sent_email__v/VBLZ025E82GNPX2", "SE-000275257")</f>
        <v>SE-000275257</v>
      </c>
      <c r="D3516" s="4" t="s">
        <v>11</v>
      </c>
      <c r="E3516" s="5">
        <v>0</v>
      </c>
      <c r="F3516" s="5">
        <v>0</v>
      </c>
      <c r="G3516" s="5">
        <v>0</v>
      </c>
      <c r="H3516" s="4" t="s">
        <v>11</v>
      </c>
      <c r="I3516" s="5">
        <v>0</v>
      </c>
      <c r="J3516" s="4">
        <v>45916.294502314813</v>
      </c>
    </row>
    <row r="3517" spans="1:10" x14ac:dyDescent="0.2">
      <c r="A3517" s="2" t="s">
        <v>10</v>
      </c>
      <c r="B3517" s="3" t="str">
        <f t="shared" si="64"/>
        <v>France - HCP Survey Email - June 2025</v>
      </c>
      <c r="C3517" s="3" t="str">
        <f>HYPERLINK("https://otsuka-europe-crm.veevavault.com/ui/#object/sent_email__v/VBLZ025E82GNPX3", "SE-000275258")</f>
        <v>SE-000275258</v>
      </c>
      <c r="D3517" s="4" t="s">
        <v>11</v>
      </c>
      <c r="E3517" s="5">
        <v>0</v>
      </c>
      <c r="F3517" s="5">
        <v>0</v>
      </c>
      <c r="G3517" s="5">
        <v>0</v>
      </c>
      <c r="H3517" s="4" t="s">
        <v>11</v>
      </c>
      <c r="I3517" s="5">
        <v>0</v>
      </c>
      <c r="J3517" s="4">
        <v>45916.294942129629</v>
      </c>
    </row>
    <row r="3518" spans="1:10" x14ac:dyDescent="0.2">
      <c r="A3518" s="2" t="s">
        <v>10</v>
      </c>
      <c r="B3518" s="3" t="str">
        <f t="shared" si="64"/>
        <v>France - HCP Survey Email - June 2025</v>
      </c>
      <c r="C3518" s="3" t="str">
        <f>HYPERLINK("https://otsuka-europe-crm.veevavault.com/ui/#object/sent_email__v/VBLZ025E82GNPX4", "SE-000275259")</f>
        <v>SE-000275259</v>
      </c>
      <c r="D3518" s="4" t="s">
        <v>11</v>
      </c>
      <c r="E3518" s="5">
        <v>0</v>
      </c>
      <c r="F3518" s="5">
        <v>0</v>
      </c>
      <c r="G3518" s="5">
        <v>0</v>
      </c>
      <c r="H3518" s="4" t="s">
        <v>11</v>
      </c>
      <c r="I3518" s="5">
        <v>0</v>
      </c>
      <c r="J3518" s="4">
        <v>45916.29483796296</v>
      </c>
    </row>
    <row r="3519" spans="1:10" x14ac:dyDescent="0.2">
      <c r="A3519" s="2" t="s">
        <v>10</v>
      </c>
      <c r="B3519" s="3" t="str">
        <f t="shared" si="64"/>
        <v>France - HCP Survey Email - June 2025</v>
      </c>
      <c r="C3519" s="3" t="str">
        <f>HYPERLINK("https://otsuka-europe-crm.veevavault.com/ui/#object/sent_email__v/VBLZ025E82GNPX5", "SE-000275260")</f>
        <v>SE-000275260</v>
      </c>
      <c r="D3519" s="4" t="s">
        <v>11</v>
      </c>
      <c r="E3519" s="5">
        <v>0</v>
      </c>
      <c r="F3519" s="5">
        <v>0</v>
      </c>
      <c r="G3519" s="5">
        <v>0</v>
      </c>
      <c r="H3519" s="4" t="s">
        <v>11</v>
      </c>
      <c r="I3519" s="5">
        <v>0</v>
      </c>
      <c r="J3519" s="4">
        <v>45916.294872685183</v>
      </c>
    </row>
    <row r="3520" spans="1:10" x14ac:dyDescent="0.2">
      <c r="A3520" s="2" t="s">
        <v>10</v>
      </c>
      <c r="B3520" s="3" t="str">
        <f t="shared" si="64"/>
        <v>France - HCP Survey Email - June 2025</v>
      </c>
      <c r="C3520" s="3" t="str">
        <f>HYPERLINK("https://otsuka-europe-crm.veevavault.com/ui/#object/sent_email__v/VBLZ025E82GNPX6", "SE-000275261")</f>
        <v>SE-000275261</v>
      </c>
      <c r="D3520" s="4" t="s">
        <v>11</v>
      </c>
      <c r="E3520" s="5">
        <v>0</v>
      </c>
      <c r="F3520" s="5">
        <v>0</v>
      </c>
      <c r="G3520" s="5">
        <v>0</v>
      </c>
      <c r="H3520" s="4" t="s">
        <v>11</v>
      </c>
      <c r="I3520" s="5">
        <v>0</v>
      </c>
      <c r="J3520" s="4">
        <v>45916.294247685182</v>
      </c>
    </row>
    <row r="3521" spans="1:10" x14ac:dyDescent="0.2">
      <c r="A3521" s="2" t="s">
        <v>10</v>
      </c>
      <c r="B3521" s="3" t="str">
        <f t="shared" ref="B3521:B3584" si="65">HYPERLINK("https://otsuka-europe-crm.veevavault.com/ui/#object/approved_document__v/V5OZ025E82TMV97", "France - HCP Survey Email - June 2025")</f>
        <v>France - HCP Survey Email - June 2025</v>
      </c>
      <c r="C3521" s="3" t="str">
        <f>HYPERLINK("https://otsuka-europe-crm.veevavault.com/ui/#object/sent_email__v/VBLZ025E82GNPX7", "SE-000275262")</f>
        <v>SE-000275262</v>
      </c>
      <c r="D3521" s="4" t="s">
        <v>11</v>
      </c>
      <c r="E3521" s="5">
        <v>0</v>
      </c>
      <c r="F3521" s="5">
        <v>0</v>
      </c>
      <c r="G3521" s="5">
        <v>0</v>
      </c>
      <c r="H3521" s="4" t="s">
        <v>11</v>
      </c>
      <c r="I3521" s="5">
        <v>0</v>
      </c>
      <c r="J3521" s="4">
        <v>45916.294537037036</v>
      </c>
    </row>
    <row r="3522" spans="1:10" x14ac:dyDescent="0.2">
      <c r="A3522" s="2" t="s">
        <v>10</v>
      </c>
      <c r="B3522" s="3" t="str">
        <f t="shared" si="65"/>
        <v>France - HCP Survey Email - June 2025</v>
      </c>
      <c r="C3522" s="3" t="str">
        <f>HYPERLINK("https://otsuka-europe-crm.veevavault.com/ui/#object/sent_email__v/VBLZ025E82GNPX8", "SE-000275263")</f>
        <v>SE-000275263</v>
      </c>
      <c r="D3522" s="4" t="s">
        <v>11</v>
      </c>
      <c r="E3522" s="5">
        <v>0</v>
      </c>
      <c r="F3522" s="5">
        <v>0</v>
      </c>
      <c r="G3522" s="5">
        <v>0</v>
      </c>
      <c r="H3522" s="4" t="s">
        <v>11</v>
      </c>
      <c r="I3522" s="5">
        <v>0</v>
      </c>
      <c r="J3522" s="4">
        <v>45916.29483796296</v>
      </c>
    </row>
    <row r="3523" spans="1:10" x14ac:dyDescent="0.2">
      <c r="A3523" s="2" t="s">
        <v>10</v>
      </c>
      <c r="B3523" s="3" t="str">
        <f t="shared" si="65"/>
        <v>France - HCP Survey Email - June 2025</v>
      </c>
      <c r="C3523" s="3" t="str">
        <f>HYPERLINK("https://otsuka-europe-crm.veevavault.com/ui/#object/sent_email__v/VBLZ025E82GNPX9", "SE-000275264")</f>
        <v>SE-000275264</v>
      </c>
      <c r="D3523" s="4">
        <v>45916.36178240741</v>
      </c>
      <c r="E3523" s="5">
        <v>1</v>
      </c>
      <c r="F3523" s="5">
        <v>3</v>
      </c>
      <c r="G3523" s="5">
        <v>0</v>
      </c>
      <c r="H3523" s="4" t="s">
        <v>11</v>
      </c>
      <c r="I3523" s="5">
        <v>0</v>
      </c>
      <c r="J3523" s="4">
        <v>45916.294317129628</v>
      </c>
    </row>
    <row r="3524" spans="1:10" x14ac:dyDescent="0.2">
      <c r="A3524" s="2" t="s">
        <v>10</v>
      </c>
      <c r="B3524" s="3" t="str">
        <f t="shared" si="65"/>
        <v>France - HCP Survey Email - June 2025</v>
      </c>
      <c r="C3524" s="3" t="str">
        <f>HYPERLINK("https://otsuka-europe-crm.veevavault.com/ui/#object/sent_email__v/VBLZ025E82GNPXA", "SE-000275265")</f>
        <v>SE-000275265</v>
      </c>
      <c r="D3524" s="4" t="s">
        <v>11</v>
      </c>
      <c r="E3524" s="5">
        <v>0</v>
      </c>
      <c r="F3524" s="5">
        <v>0</v>
      </c>
      <c r="G3524" s="5">
        <v>0</v>
      </c>
      <c r="H3524" s="4" t="s">
        <v>11</v>
      </c>
      <c r="I3524" s="5">
        <v>0</v>
      </c>
      <c r="J3524" s="4">
        <v>45916.294351851851</v>
      </c>
    </row>
    <row r="3525" spans="1:10" x14ac:dyDescent="0.2">
      <c r="A3525" s="2" t="s">
        <v>10</v>
      </c>
      <c r="B3525" s="3" t="str">
        <f t="shared" si="65"/>
        <v>France - HCP Survey Email - June 2025</v>
      </c>
      <c r="C3525" s="3" t="str">
        <f>HYPERLINK("https://otsuka-europe-crm.veevavault.com/ui/#object/sent_email__v/VBLZ025E82GNPXB", "SE-000275266")</f>
        <v>SE-000275266</v>
      </c>
      <c r="D3525" s="4" t="s">
        <v>11</v>
      </c>
      <c r="E3525" s="5">
        <v>0</v>
      </c>
      <c r="F3525" s="5">
        <v>0</v>
      </c>
      <c r="G3525" s="5">
        <v>0</v>
      </c>
      <c r="H3525" s="4" t="s">
        <v>11</v>
      </c>
      <c r="I3525" s="5">
        <v>0</v>
      </c>
      <c r="J3525" s="4">
        <v>45916.294687499998</v>
      </c>
    </row>
    <row r="3526" spans="1:10" x14ac:dyDescent="0.2">
      <c r="A3526" s="2" t="s">
        <v>10</v>
      </c>
      <c r="B3526" s="3" t="str">
        <f t="shared" si="65"/>
        <v>France - HCP Survey Email - June 2025</v>
      </c>
      <c r="C3526" s="3" t="str">
        <f>HYPERLINK("https://otsuka-europe-crm.veevavault.com/ui/#object/sent_email__v/VBLZ025E82GNPXC", "SE-000275267")</f>
        <v>SE-000275267</v>
      </c>
      <c r="D3526" s="4" t="s">
        <v>11</v>
      </c>
      <c r="E3526" s="5">
        <v>0</v>
      </c>
      <c r="F3526" s="5">
        <v>0</v>
      </c>
      <c r="G3526" s="5">
        <v>0</v>
      </c>
      <c r="H3526" s="4" t="s">
        <v>11</v>
      </c>
      <c r="I3526" s="5">
        <v>0</v>
      </c>
      <c r="J3526" s="4">
        <v>45916.294895833336</v>
      </c>
    </row>
    <row r="3527" spans="1:10" x14ac:dyDescent="0.2">
      <c r="A3527" s="2" t="s">
        <v>10</v>
      </c>
      <c r="B3527" s="3" t="str">
        <f t="shared" si="65"/>
        <v>France - HCP Survey Email - June 2025</v>
      </c>
      <c r="C3527" s="3" t="str">
        <f>HYPERLINK("https://otsuka-europe-crm.veevavault.com/ui/#object/sent_email__v/VBLZ025E82GNPXD", "SE-000275268")</f>
        <v>SE-000275268</v>
      </c>
      <c r="D3527" s="4" t="s">
        <v>11</v>
      </c>
      <c r="E3527" s="5">
        <v>0</v>
      </c>
      <c r="F3527" s="5">
        <v>0</v>
      </c>
      <c r="G3527" s="5">
        <v>0</v>
      </c>
      <c r="H3527" s="4" t="s">
        <v>11</v>
      </c>
      <c r="I3527" s="5">
        <v>0</v>
      </c>
      <c r="J3527" s="4">
        <v>45916.294340277775</v>
      </c>
    </row>
    <row r="3528" spans="1:10" x14ac:dyDescent="0.2">
      <c r="A3528" s="2" t="s">
        <v>10</v>
      </c>
      <c r="B3528" s="3" t="str">
        <f t="shared" si="65"/>
        <v>France - HCP Survey Email - June 2025</v>
      </c>
      <c r="C3528" s="3" t="str">
        <f>HYPERLINK("https://otsuka-europe-crm.veevavault.com/ui/#object/sent_email__v/VBLZ025E82GNPXE", "SE-000275269")</f>
        <v>SE-000275269</v>
      </c>
      <c r="D3528" s="4">
        <v>45916.330694444441</v>
      </c>
      <c r="E3528" s="5">
        <v>1</v>
      </c>
      <c r="F3528" s="5">
        <v>1</v>
      </c>
      <c r="G3528" s="5">
        <v>1</v>
      </c>
      <c r="H3528" s="4">
        <v>45916.330694444441</v>
      </c>
      <c r="I3528" s="5">
        <v>1</v>
      </c>
      <c r="J3528" s="4">
        <v>45916.294652777775</v>
      </c>
    </row>
    <row r="3529" spans="1:10" x14ac:dyDescent="0.2">
      <c r="A3529" s="2" t="s">
        <v>10</v>
      </c>
      <c r="B3529" s="3" t="str">
        <f t="shared" si="65"/>
        <v>France - HCP Survey Email - June 2025</v>
      </c>
      <c r="C3529" s="3" t="str">
        <f>HYPERLINK("https://otsuka-europe-crm.veevavault.com/ui/#object/sent_email__v/VBLZ025E82GNPXF", "SE-000275270")</f>
        <v>SE-000275270</v>
      </c>
      <c r="D3529" s="4">
        <v>45917.709745370368</v>
      </c>
      <c r="E3529" s="5">
        <v>1</v>
      </c>
      <c r="F3529" s="5">
        <v>2</v>
      </c>
      <c r="G3529" s="5">
        <v>0</v>
      </c>
      <c r="H3529" s="4" t="s">
        <v>11</v>
      </c>
      <c r="I3529" s="5">
        <v>0</v>
      </c>
      <c r="J3529" s="4">
        <v>45916.294745370367</v>
      </c>
    </row>
    <row r="3530" spans="1:10" x14ac:dyDescent="0.2">
      <c r="A3530" s="2" t="s">
        <v>10</v>
      </c>
      <c r="B3530" s="3" t="str">
        <f t="shared" si="65"/>
        <v>France - HCP Survey Email - June 2025</v>
      </c>
      <c r="C3530" s="3" t="str">
        <f>HYPERLINK("https://otsuka-europe-crm.veevavault.com/ui/#object/sent_email__v/VBLZ025E82GNPXG", "SE-000275271")</f>
        <v>SE-000275271</v>
      </c>
      <c r="D3530" s="4" t="s">
        <v>11</v>
      </c>
      <c r="E3530" s="5">
        <v>0</v>
      </c>
      <c r="F3530" s="5">
        <v>0</v>
      </c>
      <c r="G3530" s="5">
        <v>0</v>
      </c>
      <c r="H3530" s="4" t="s">
        <v>11</v>
      </c>
      <c r="I3530" s="5">
        <v>0</v>
      </c>
      <c r="J3530" s="4">
        <v>45916.29488425926</v>
      </c>
    </row>
    <row r="3531" spans="1:10" x14ac:dyDescent="0.2">
      <c r="A3531" s="2" t="s">
        <v>10</v>
      </c>
      <c r="B3531" s="3" t="str">
        <f t="shared" si="65"/>
        <v>France - HCP Survey Email - June 2025</v>
      </c>
      <c r="C3531" s="3" t="str">
        <f>HYPERLINK("https://otsuka-europe-crm.veevavault.com/ui/#object/sent_email__v/VBLZ025E82GNPXH", "SE-000275272")</f>
        <v>SE-000275272</v>
      </c>
      <c r="D3531" s="4">
        <v>45916.294560185182</v>
      </c>
      <c r="E3531" s="5">
        <v>1</v>
      </c>
      <c r="F3531" s="5">
        <v>1</v>
      </c>
      <c r="G3531" s="5">
        <v>0</v>
      </c>
      <c r="H3531" s="4" t="s">
        <v>11</v>
      </c>
      <c r="I3531" s="5">
        <v>0</v>
      </c>
      <c r="J3531" s="4">
        <v>45916.294340277775</v>
      </c>
    </row>
    <row r="3532" spans="1:10" x14ac:dyDescent="0.2">
      <c r="A3532" s="2" t="s">
        <v>10</v>
      </c>
      <c r="B3532" s="3" t="str">
        <f t="shared" si="65"/>
        <v>France - HCP Survey Email - June 2025</v>
      </c>
      <c r="C3532" s="3" t="str">
        <f>HYPERLINK("https://otsuka-europe-crm.veevavault.com/ui/#object/sent_email__v/VBLZ025E82GNPXI", "SE-000275273")</f>
        <v>SE-000275273</v>
      </c>
      <c r="D3532" s="4" t="s">
        <v>11</v>
      </c>
      <c r="E3532" s="5">
        <v>0</v>
      </c>
      <c r="F3532" s="5">
        <v>0</v>
      </c>
      <c r="G3532" s="5">
        <v>0</v>
      </c>
      <c r="H3532" s="4" t="s">
        <v>11</v>
      </c>
      <c r="I3532" s="5">
        <v>0</v>
      </c>
      <c r="J3532" s="4">
        <v>45916.294641203705</v>
      </c>
    </row>
    <row r="3533" spans="1:10" x14ac:dyDescent="0.2">
      <c r="A3533" s="2" t="s">
        <v>10</v>
      </c>
      <c r="B3533" s="3" t="str">
        <f t="shared" si="65"/>
        <v>France - HCP Survey Email - June 2025</v>
      </c>
      <c r="C3533" s="3" t="str">
        <f>HYPERLINK("https://otsuka-europe-crm.veevavault.com/ui/#object/sent_email__v/VBLZ025E82GNPXJ", "SE-000275274")</f>
        <v>SE-000275274</v>
      </c>
      <c r="D3533" s="4" t="s">
        <v>11</v>
      </c>
      <c r="E3533" s="5">
        <v>0</v>
      </c>
      <c r="F3533" s="5">
        <v>0</v>
      </c>
      <c r="G3533" s="5">
        <v>0</v>
      </c>
      <c r="H3533" s="4" t="s">
        <v>11</v>
      </c>
      <c r="I3533" s="5">
        <v>0</v>
      </c>
      <c r="J3533" s="4">
        <v>45916.294895833336</v>
      </c>
    </row>
    <row r="3534" spans="1:10" x14ac:dyDescent="0.2">
      <c r="A3534" s="2" t="s">
        <v>10</v>
      </c>
      <c r="B3534" s="3" t="str">
        <f t="shared" si="65"/>
        <v>France - HCP Survey Email - June 2025</v>
      </c>
      <c r="C3534" s="3" t="str">
        <f>HYPERLINK("https://otsuka-europe-crm.veevavault.com/ui/#object/sent_email__v/VBLZ025E82GNPXK", "SE-000275275")</f>
        <v>SE-000275275</v>
      </c>
      <c r="D3534" s="4" t="s">
        <v>11</v>
      </c>
      <c r="E3534" s="5">
        <v>0</v>
      </c>
      <c r="F3534" s="5">
        <v>0</v>
      </c>
      <c r="G3534" s="5">
        <v>0</v>
      </c>
      <c r="H3534" s="4" t="s">
        <v>11</v>
      </c>
      <c r="I3534" s="5">
        <v>0</v>
      </c>
      <c r="J3534" s="4">
        <v>45916.294259259259</v>
      </c>
    </row>
    <row r="3535" spans="1:10" x14ac:dyDescent="0.2">
      <c r="A3535" s="2" t="s">
        <v>10</v>
      </c>
      <c r="B3535" s="3" t="str">
        <f t="shared" si="65"/>
        <v>France - HCP Survey Email - June 2025</v>
      </c>
      <c r="C3535" s="3" t="str">
        <f>HYPERLINK("https://otsuka-europe-crm.veevavault.com/ui/#object/sent_email__v/VBLZ025E82GNPXL", "SE-000275276")</f>
        <v>SE-000275276</v>
      </c>
      <c r="D3535" s="4" t="s">
        <v>11</v>
      </c>
      <c r="E3535" s="5">
        <v>0</v>
      </c>
      <c r="F3535" s="5">
        <v>0</v>
      </c>
      <c r="G3535" s="5">
        <v>0</v>
      </c>
      <c r="H3535" s="4" t="s">
        <v>11</v>
      </c>
      <c r="I3535" s="5">
        <v>0</v>
      </c>
      <c r="J3535" s="4">
        <v>45916.294374999998</v>
      </c>
    </row>
    <row r="3536" spans="1:10" x14ac:dyDescent="0.2">
      <c r="A3536" s="2" t="s">
        <v>10</v>
      </c>
      <c r="B3536" s="3" t="str">
        <f t="shared" si="65"/>
        <v>France - HCP Survey Email - June 2025</v>
      </c>
      <c r="C3536" s="3" t="str">
        <f>HYPERLINK("https://otsuka-europe-crm.veevavault.com/ui/#object/sent_email__v/VBLZ025E82GNPXM", "SE-000275277")</f>
        <v>SE-000275277</v>
      </c>
      <c r="D3536" s="4" t="s">
        <v>11</v>
      </c>
      <c r="E3536" s="5">
        <v>0</v>
      </c>
      <c r="F3536" s="5">
        <v>0</v>
      </c>
      <c r="G3536" s="5">
        <v>0</v>
      </c>
      <c r="H3536" s="4" t="s">
        <v>11</v>
      </c>
      <c r="I3536" s="5">
        <v>0</v>
      </c>
      <c r="J3536" s="4">
        <v>45916.294618055559</v>
      </c>
    </row>
    <row r="3537" spans="1:10" x14ac:dyDescent="0.2">
      <c r="A3537" s="2" t="s">
        <v>10</v>
      </c>
      <c r="B3537" s="3" t="str">
        <f t="shared" si="65"/>
        <v>France - HCP Survey Email - June 2025</v>
      </c>
      <c r="C3537" s="3" t="str">
        <f>HYPERLINK("https://otsuka-europe-crm.veevavault.com/ui/#object/sent_email__v/VBLZ025E82GNPXN", "SE-000275278")</f>
        <v>SE-000275278</v>
      </c>
      <c r="D3537" s="4" t="s">
        <v>11</v>
      </c>
      <c r="E3537" s="5">
        <v>0</v>
      </c>
      <c r="F3537" s="5">
        <v>0</v>
      </c>
      <c r="G3537" s="5">
        <v>0</v>
      </c>
      <c r="H3537" s="4" t="s">
        <v>11</v>
      </c>
      <c r="I3537" s="5">
        <v>0</v>
      </c>
      <c r="J3537" s="4">
        <v>45916.294895833336</v>
      </c>
    </row>
    <row r="3538" spans="1:10" x14ac:dyDescent="0.2">
      <c r="A3538" s="2" t="s">
        <v>10</v>
      </c>
      <c r="B3538" s="3" t="str">
        <f t="shared" si="65"/>
        <v>France - HCP Survey Email - June 2025</v>
      </c>
      <c r="C3538" s="3" t="str">
        <f>HYPERLINK("https://otsuka-europe-crm.veevavault.com/ui/#object/sent_email__v/VBLZ025E82GNPXO", "SE-000275279")</f>
        <v>SE-000275279</v>
      </c>
      <c r="D3538" s="4" t="s">
        <v>11</v>
      </c>
      <c r="E3538" s="5">
        <v>0</v>
      </c>
      <c r="F3538" s="5">
        <v>0</v>
      </c>
      <c r="G3538" s="5">
        <v>0</v>
      </c>
      <c r="H3538" s="4" t="s">
        <v>11</v>
      </c>
      <c r="I3538" s="5">
        <v>0</v>
      </c>
      <c r="J3538" s="4">
        <v>45916.294282407405</v>
      </c>
    </row>
    <row r="3539" spans="1:10" x14ac:dyDescent="0.2">
      <c r="A3539" s="2" t="s">
        <v>10</v>
      </c>
      <c r="B3539" s="3" t="str">
        <f t="shared" si="65"/>
        <v>France - HCP Survey Email - June 2025</v>
      </c>
      <c r="C3539" s="3" t="str">
        <f>HYPERLINK("https://otsuka-europe-crm.veevavault.com/ui/#object/sent_email__v/VBLZ025E82GNPXQ", "SE-000275281")</f>
        <v>SE-000275281</v>
      </c>
      <c r="D3539" s="4">
        <v>45917.390092592592</v>
      </c>
      <c r="E3539" s="5">
        <v>1</v>
      </c>
      <c r="F3539" s="5">
        <v>1</v>
      </c>
      <c r="G3539" s="5">
        <v>1</v>
      </c>
      <c r="H3539" s="4">
        <v>45917.390092592592</v>
      </c>
      <c r="I3539" s="5">
        <v>1</v>
      </c>
      <c r="J3539" s="4">
        <v>45916.294768518521</v>
      </c>
    </row>
    <row r="3540" spans="1:10" x14ac:dyDescent="0.2">
      <c r="A3540" s="2" t="s">
        <v>10</v>
      </c>
      <c r="B3540" s="3" t="str">
        <f t="shared" si="65"/>
        <v>France - HCP Survey Email - June 2025</v>
      </c>
      <c r="C3540" s="3" t="str">
        <f>HYPERLINK("https://otsuka-europe-crm.veevavault.com/ui/#object/sent_email__v/VBLZ025E82GNPXS", "SE-000275283")</f>
        <v>SE-000275283</v>
      </c>
      <c r="D3540" s="4" t="s">
        <v>11</v>
      </c>
      <c r="E3540" s="5">
        <v>0</v>
      </c>
      <c r="F3540" s="5">
        <v>0</v>
      </c>
      <c r="G3540" s="5">
        <v>0</v>
      </c>
      <c r="H3540" s="4" t="s">
        <v>11</v>
      </c>
      <c r="I3540" s="5">
        <v>0</v>
      </c>
      <c r="J3540" s="4">
        <v>45916.294328703705</v>
      </c>
    </row>
    <row r="3541" spans="1:10" x14ac:dyDescent="0.2">
      <c r="A3541" s="2" t="s">
        <v>10</v>
      </c>
      <c r="B3541" s="3" t="str">
        <f t="shared" si="65"/>
        <v>France - HCP Survey Email - June 2025</v>
      </c>
      <c r="C3541" s="3" t="str">
        <f>HYPERLINK("https://otsuka-europe-crm.veevavault.com/ui/#object/sent_email__v/VBLZ025E82GNPXT", "SE-000275284")</f>
        <v>SE-000275284</v>
      </c>
      <c r="D3541" s="4" t="s">
        <v>11</v>
      </c>
      <c r="E3541" s="5">
        <v>0</v>
      </c>
      <c r="F3541" s="5">
        <v>0</v>
      </c>
      <c r="G3541" s="5">
        <v>0</v>
      </c>
      <c r="H3541" s="4" t="s">
        <v>11</v>
      </c>
      <c r="I3541" s="5">
        <v>0</v>
      </c>
      <c r="J3541" s="4">
        <v>45916.294606481482</v>
      </c>
    </row>
    <row r="3542" spans="1:10" x14ac:dyDescent="0.2">
      <c r="A3542" s="2" t="s">
        <v>10</v>
      </c>
      <c r="B3542" s="3" t="str">
        <f t="shared" si="65"/>
        <v>France - HCP Survey Email - June 2025</v>
      </c>
      <c r="C3542" s="3" t="str">
        <f>HYPERLINK("https://otsuka-europe-crm.veevavault.com/ui/#object/sent_email__v/VBLZ025E82GNPXU", "SE-000275285")</f>
        <v>SE-000275285</v>
      </c>
      <c r="D3542" s="4">
        <v>45918.31931712963</v>
      </c>
      <c r="E3542" s="5">
        <v>1</v>
      </c>
      <c r="F3542" s="5">
        <v>1</v>
      </c>
      <c r="G3542" s="5">
        <v>0</v>
      </c>
      <c r="H3542" s="4" t="s">
        <v>11</v>
      </c>
      <c r="I3542" s="5">
        <v>0</v>
      </c>
      <c r="J3542" s="4">
        <v>45916.29483796296</v>
      </c>
    </row>
    <row r="3543" spans="1:10" x14ac:dyDescent="0.2">
      <c r="A3543" s="2" t="s">
        <v>10</v>
      </c>
      <c r="B3543" s="3" t="str">
        <f t="shared" si="65"/>
        <v>France - HCP Survey Email - June 2025</v>
      </c>
      <c r="C3543" s="3" t="str">
        <f>HYPERLINK("https://otsuka-europe-crm.veevavault.com/ui/#object/sent_email__v/VBLZ025E82GNPXV", "SE-000275286")</f>
        <v>SE-000275286</v>
      </c>
      <c r="D3543" s="4">
        <v>45916.423761574071</v>
      </c>
      <c r="E3543" s="5">
        <v>1</v>
      </c>
      <c r="F3543" s="5">
        <v>1</v>
      </c>
      <c r="G3543" s="5">
        <v>0</v>
      </c>
      <c r="H3543" s="4" t="s">
        <v>11</v>
      </c>
      <c r="I3543" s="5">
        <v>0</v>
      </c>
      <c r="J3543" s="4">
        <v>45916.294282407405</v>
      </c>
    </row>
    <row r="3544" spans="1:10" x14ac:dyDescent="0.2">
      <c r="A3544" s="2" t="s">
        <v>10</v>
      </c>
      <c r="B3544" s="3" t="str">
        <f t="shared" si="65"/>
        <v>France - HCP Survey Email - June 2025</v>
      </c>
      <c r="C3544" s="3" t="str">
        <f>HYPERLINK("https://otsuka-europe-crm.veevavault.com/ui/#object/sent_email__v/VBLZ025E82GNPXW", "SE-000275287")</f>
        <v>SE-000275287</v>
      </c>
      <c r="D3544" s="4" t="s">
        <v>11</v>
      </c>
      <c r="E3544" s="5">
        <v>0</v>
      </c>
      <c r="F3544" s="5">
        <v>0</v>
      </c>
      <c r="G3544" s="5">
        <v>0</v>
      </c>
      <c r="H3544" s="4" t="s">
        <v>11</v>
      </c>
      <c r="I3544" s="5">
        <v>0</v>
      </c>
      <c r="J3544" s="4">
        <v>45916.29446759259</v>
      </c>
    </row>
    <row r="3545" spans="1:10" x14ac:dyDescent="0.2">
      <c r="A3545" s="2" t="s">
        <v>10</v>
      </c>
      <c r="B3545" s="3" t="str">
        <f t="shared" si="65"/>
        <v>France - HCP Survey Email - June 2025</v>
      </c>
      <c r="C3545" s="3" t="str">
        <f>HYPERLINK("https://otsuka-europe-crm.veevavault.com/ui/#object/sent_email__v/VBLZ025E82GNPXX", "SE-000275288")</f>
        <v>SE-000275288</v>
      </c>
      <c r="D3545" s="4" t="s">
        <v>11</v>
      </c>
      <c r="E3545" s="5">
        <v>0</v>
      </c>
      <c r="F3545" s="5">
        <v>0</v>
      </c>
      <c r="G3545" s="5">
        <v>0</v>
      </c>
      <c r="H3545" s="4" t="s">
        <v>11</v>
      </c>
      <c r="I3545" s="5">
        <v>0</v>
      </c>
      <c r="J3545" s="4">
        <v>45916.294548611113</v>
      </c>
    </row>
    <row r="3546" spans="1:10" x14ac:dyDescent="0.2">
      <c r="A3546" s="2" t="s">
        <v>10</v>
      </c>
      <c r="B3546" s="3" t="str">
        <f t="shared" si="65"/>
        <v>France - HCP Survey Email - June 2025</v>
      </c>
      <c r="C3546" s="3" t="str">
        <f>HYPERLINK("https://otsuka-europe-crm.veevavault.com/ui/#object/sent_email__v/VBLZ025E82GNPXY", "SE-000275289")</f>
        <v>SE-000275289</v>
      </c>
      <c r="D3546" s="4" t="s">
        <v>11</v>
      </c>
      <c r="E3546" s="5">
        <v>0</v>
      </c>
      <c r="F3546" s="5">
        <v>0</v>
      </c>
      <c r="G3546" s="5">
        <v>0</v>
      </c>
      <c r="H3546" s="4" t="s">
        <v>11</v>
      </c>
      <c r="I3546" s="5">
        <v>0</v>
      </c>
      <c r="J3546" s="4">
        <v>45916.294872685183</v>
      </c>
    </row>
    <row r="3547" spans="1:10" x14ac:dyDescent="0.2">
      <c r="A3547" s="2" t="s">
        <v>10</v>
      </c>
      <c r="B3547" s="3" t="str">
        <f t="shared" si="65"/>
        <v>France - HCP Survey Email - June 2025</v>
      </c>
      <c r="C3547" s="3" t="str">
        <f>HYPERLINK("https://otsuka-europe-crm.veevavault.com/ui/#object/sent_email__v/VBLZ025E82GNPXZ", "SE-000275290")</f>
        <v>SE-000275290</v>
      </c>
      <c r="D3547" s="4" t="s">
        <v>11</v>
      </c>
      <c r="E3547" s="5">
        <v>0</v>
      </c>
      <c r="F3547" s="5">
        <v>0</v>
      </c>
      <c r="G3547" s="5">
        <v>0</v>
      </c>
      <c r="H3547" s="4" t="s">
        <v>11</v>
      </c>
      <c r="I3547" s="5">
        <v>0</v>
      </c>
      <c r="J3547" s="4">
        <v>45916.294340277775</v>
      </c>
    </row>
    <row r="3548" spans="1:10" x14ac:dyDescent="0.2">
      <c r="A3548" s="2" t="s">
        <v>10</v>
      </c>
      <c r="B3548" s="3" t="str">
        <f t="shared" si="65"/>
        <v>France - HCP Survey Email - June 2025</v>
      </c>
      <c r="C3548" s="3" t="str">
        <f>HYPERLINK("https://otsuka-europe-crm.veevavault.com/ui/#object/sent_email__v/VBLZ025E82GNPY0", "SE-000275291")</f>
        <v>SE-000275291</v>
      </c>
      <c r="D3548" s="4" t="s">
        <v>11</v>
      </c>
      <c r="E3548" s="5">
        <v>0</v>
      </c>
      <c r="F3548" s="5">
        <v>0</v>
      </c>
      <c r="G3548" s="5">
        <v>0</v>
      </c>
      <c r="H3548" s="4" t="s">
        <v>11</v>
      </c>
      <c r="I3548" s="5">
        <v>0</v>
      </c>
      <c r="J3548" s="4">
        <v>45916.294525462959</v>
      </c>
    </row>
    <row r="3549" spans="1:10" x14ac:dyDescent="0.2">
      <c r="A3549" s="2" t="s">
        <v>10</v>
      </c>
      <c r="B3549" s="3" t="str">
        <f t="shared" si="65"/>
        <v>France - HCP Survey Email - June 2025</v>
      </c>
      <c r="C3549" s="3" t="str">
        <f>HYPERLINK("https://otsuka-europe-crm.veevavault.com/ui/#object/sent_email__v/VBLZ025E82GNPY1", "SE-000275292")</f>
        <v>SE-000275292</v>
      </c>
      <c r="D3549" s="4" t="s">
        <v>11</v>
      </c>
      <c r="E3549" s="5">
        <v>0</v>
      </c>
      <c r="F3549" s="5">
        <v>0</v>
      </c>
      <c r="G3549" s="5">
        <v>0</v>
      </c>
      <c r="H3549" s="4" t="s">
        <v>11</v>
      </c>
      <c r="I3549" s="5">
        <v>0</v>
      </c>
      <c r="J3549" s="4">
        <v>45916.294861111113</v>
      </c>
    </row>
    <row r="3550" spans="1:10" x14ac:dyDescent="0.2">
      <c r="A3550" s="2" t="s">
        <v>10</v>
      </c>
      <c r="B3550" s="3" t="str">
        <f t="shared" si="65"/>
        <v>France - HCP Survey Email - June 2025</v>
      </c>
      <c r="C3550" s="3" t="str">
        <f>HYPERLINK("https://otsuka-europe-crm.veevavault.com/ui/#object/sent_email__v/VBLZ025E82GNPY2", "SE-000275293")</f>
        <v>SE-000275293</v>
      </c>
      <c r="D3550" s="4">
        <v>45916.956388888888</v>
      </c>
      <c r="E3550" s="5">
        <v>1</v>
      </c>
      <c r="F3550" s="5">
        <v>1</v>
      </c>
      <c r="G3550" s="5">
        <v>1</v>
      </c>
      <c r="H3550" s="4">
        <v>45916.956921296296</v>
      </c>
      <c r="I3550" s="5">
        <v>1</v>
      </c>
      <c r="J3550" s="4">
        <v>45916.294872685183</v>
      </c>
    </row>
    <row r="3551" spans="1:10" x14ac:dyDescent="0.2">
      <c r="A3551" s="2" t="s">
        <v>10</v>
      </c>
      <c r="B3551" s="3" t="str">
        <f t="shared" si="65"/>
        <v>France - HCP Survey Email - June 2025</v>
      </c>
      <c r="C3551" s="3" t="str">
        <f>HYPERLINK("https://otsuka-europe-crm.veevavault.com/ui/#object/sent_email__v/VBLZ025E82GNPY3", "SE-000275294")</f>
        <v>SE-000275294</v>
      </c>
      <c r="D3551" s="4" t="s">
        <v>11</v>
      </c>
      <c r="E3551" s="5">
        <v>0</v>
      </c>
      <c r="F3551" s="5">
        <v>0</v>
      </c>
      <c r="G3551" s="5">
        <v>0</v>
      </c>
      <c r="H3551" s="4" t="s">
        <v>11</v>
      </c>
      <c r="I3551" s="5">
        <v>0</v>
      </c>
      <c r="J3551" s="4">
        <v>45916.294259259259</v>
      </c>
    </row>
    <row r="3552" spans="1:10" x14ac:dyDescent="0.2">
      <c r="A3552" s="2" t="s">
        <v>10</v>
      </c>
      <c r="B3552" s="3" t="str">
        <f t="shared" si="65"/>
        <v>France - HCP Survey Email - June 2025</v>
      </c>
      <c r="C3552" s="3" t="str">
        <f>HYPERLINK("https://otsuka-europe-crm.veevavault.com/ui/#object/sent_email__v/VBLZ025E82GNPY4", "SE-000275295")</f>
        <v>SE-000275295</v>
      </c>
      <c r="D3552" s="4" t="s">
        <v>11</v>
      </c>
      <c r="E3552" s="5">
        <v>0</v>
      </c>
      <c r="F3552" s="5">
        <v>0</v>
      </c>
      <c r="G3552" s="5">
        <v>0</v>
      </c>
      <c r="H3552" s="4" t="s">
        <v>11</v>
      </c>
      <c r="I3552" s="5">
        <v>0</v>
      </c>
      <c r="J3552" s="4">
        <v>45916.294548611113</v>
      </c>
    </row>
    <row r="3553" spans="1:10" x14ac:dyDescent="0.2">
      <c r="A3553" s="2" t="s">
        <v>10</v>
      </c>
      <c r="B3553" s="3" t="str">
        <f t="shared" si="65"/>
        <v>France - HCP Survey Email - June 2025</v>
      </c>
      <c r="C3553" s="3" t="str">
        <f>HYPERLINK("https://otsuka-europe-crm.veevavault.com/ui/#object/sent_email__v/VBLZ025E82GNPY5", "SE-000275296")</f>
        <v>SE-000275296</v>
      </c>
      <c r="D3553" s="4" t="s">
        <v>11</v>
      </c>
      <c r="E3553" s="5">
        <v>0</v>
      </c>
      <c r="F3553" s="5">
        <v>0</v>
      </c>
      <c r="G3553" s="5">
        <v>0</v>
      </c>
      <c r="H3553" s="4" t="s">
        <v>11</v>
      </c>
      <c r="I3553" s="5">
        <v>0</v>
      </c>
      <c r="J3553" s="4">
        <v>45916.294768518521</v>
      </c>
    </row>
    <row r="3554" spans="1:10" x14ac:dyDescent="0.2">
      <c r="A3554" s="2" t="s">
        <v>10</v>
      </c>
      <c r="B3554" s="3" t="str">
        <f t="shared" si="65"/>
        <v>France - HCP Survey Email - June 2025</v>
      </c>
      <c r="C3554" s="3" t="str">
        <f>HYPERLINK("https://otsuka-europe-crm.veevavault.com/ui/#object/sent_email__v/VBLZ025E82GNPY6", "SE-000275297")</f>
        <v>SE-000275297</v>
      </c>
      <c r="D3554" s="4" t="s">
        <v>11</v>
      </c>
      <c r="E3554" s="5">
        <v>0</v>
      </c>
      <c r="F3554" s="5">
        <v>0</v>
      </c>
      <c r="G3554" s="5">
        <v>0</v>
      </c>
      <c r="H3554" s="4" t="s">
        <v>11</v>
      </c>
      <c r="I3554" s="5">
        <v>0</v>
      </c>
      <c r="J3554" s="4">
        <v>45916.294907407406</v>
      </c>
    </row>
    <row r="3555" spans="1:10" x14ac:dyDescent="0.2">
      <c r="A3555" s="2" t="s">
        <v>10</v>
      </c>
      <c r="B3555" s="3" t="str">
        <f t="shared" si="65"/>
        <v>France - HCP Survey Email - June 2025</v>
      </c>
      <c r="C3555" s="3" t="str">
        <f>HYPERLINK("https://otsuka-europe-crm.veevavault.com/ui/#object/sent_email__v/VBLZ025E82GNPY7", "SE-000275298")</f>
        <v>SE-000275298</v>
      </c>
      <c r="D3555" s="4" t="s">
        <v>11</v>
      </c>
      <c r="E3555" s="5">
        <v>0</v>
      </c>
      <c r="F3555" s="5">
        <v>0</v>
      </c>
      <c r="G3555" s="5">
        <v>0</v>
      </c>
      <c r="H3555" s="4" t="s">
        <v>11</v>
      </c>
      <c r="I3555" s="5">
        <v>0</v>
      </c>
      <c r="J3555" s="4">
        <v>45916.294305555559</v>
      </c>
    </row>
    <row r="3556" spans="1:10" x14ac:dyDescent="0.2">
      <c r="A3556" s="2" t="s">
        <v>10</v>
      </c>
      <c r="B3556" s="3" t="str">
        <f t="shared" si="65"/>
        <v>France - HCP Survey Email - June 2025</v>
      </c>
      <c r="C3556" s="3" t="str">
        <f>HYPERLINK("https://otsuka-europe-crm.veevavault.com/ui/#object/sent_email__v/VBLZ025E82GNPY8", "SE-000275299")</f>
        <v>SE-000275299</v>
      </c>
      <c r="D3556" s="4" t="s">
        <v>11</v>
      </c>
      <c r="E3556" s="5">
        <v>0</v>
      </c>
      <c r="F3556" s="5">
        <v>0</v>
      </c>
      <c r="G3556" s="5">
        <v>0</v>
      </c>
      <c r="H3556" s="4" t="s">
        <v>11</v>
      </c>
      <c r="I3556" s="5">
        <v>0</v>
      </c>
      <c r="J3556" s="4">
        <v>45916.294675925928</v>
      </c>
    </row>
    <row r="3557" spans="1:10" x14ac:dyDescent="0.2">
      <c r="A3557" s="2" t="s">
        <v>10</v>
      </c>
      <c r="B3557" s="3" t="str">
        <f t="shared" si="65"/>
        <v>France - HCP Survey Email - June 2025</v>
      </c>
      <c r="C3557" s="3" t="str">
        <f>HYPERLINK("https://otsuka-europe-crm.veevavault.com/ui/#object/sent_email__v/VBLZ025E82GNPY9", "SE-000275300")</f>
        <v>SE-000275300</v>
      </c>
      <c r="D3557" s="4" t="s">
        <v>11</v>
      </c>
      <c r="E3557" s="5">
        <v>0</v>
      </c>
      <c r="F3557" s="5">
        <v>0</v>
      </c>
      <c r="G3557" s="5">
        <v>0</v>
      </c>
      <c r="H3557" s="4" t="s">
        <v>11</v>
      </c>
      <c r="I3557" s="5">
        <v>0</v>
      </c>
      <c r="J3557" s="4">
        <v>45916.29482638889</v>
      </c>
    </row>
    <row r="3558" spans="1:10" x14ac:dyDescent="0.2">
      <c r="A3558" s="2" t="s">
        <v>10</v>
      </c>
      <c r="B3558" s="3" t="str">
        <f t="shared" si="65"/>
        <v>France - HCP Survey Email - June 2025</v>
      </c>
      <c r="C3558" s="3" t="str">
        <f>HYPERLINK("https://otsuka-europe-crm.veevavault.com/ui/#object/sent_email__v/VBLZ025E82GNPYA", "SE-000275301")</f>
        <v>SE-000275301</v>
      </c>
      <c r="D3558" s="4">
        <v>45916.380648148152</v>
      </c>
      <c r="E3558" s="5">
        <v>1</v>
      </c>
      <c r="F3558" s="5">
        <v>1</v>
      </c>
      <c r="G3558" s="5">
        <v>1</v>
      </c>
      <c r="H3558" s="4">
        <v>45916.380648148152</v>
      </c>
      <c r="I3558" s="5">
        <v>1</v>
      </c>
      <c r="J3558" s="4">
        <v>45916.294270833336</v>
      </c>
    </row>
    <row r="3559" spans="1:10" x14ac:dyDescent="0.2">
      <c r="A3559" s="2" t="s">
        <v>10</v>
      </c>
      <c r="B3559" s="3" t="str">
        <f t="shared" si="65"/>
        <v>France - HCP Survey Email - June 2025</v>
      </c>
      <c r="C3559" s="3" t="str">
        <f>HYPERLINK("https://otsuka-europe-crm.veevavault.com/ui/#object/sent_email__v/VBLZ025E82GNPYC", "SE-000275303")</f>
        <v>SE-000275303</v>
      </c>
      <c r="D3559" s="4" t="s">
        <v>11</v>
      </c>
      <c r="E3559" s="5">
        <v>0</v>
      </c>
      <c r="F3559" s="5">
        <v>0</v>
      </c>
      <c r="G3559" s="5">
        <v>0</v>
      </c>
      <c r="H3559" s="4" t="s">
        <v>11</v>
      </c>
      <c r="I3559" s="5">
        <v>0</v>
      </c>
      <c r="J3559" s="4">
        <v>45916.294664351852</v>
      </c>
    </row>
    <row r="3560" spans="1:10" x14ac:dyDescent="0.2">
      <c r="A3560" s="2" t="s">
        <v>10</v>
      </c>
      <c r="B3560" s="3" t="str">
        <f t="shared" si="65"/>
        <v>France - HCP Survey Email - June 2025</v>
      </c>
      <c r="C3560" s="3" t="str">
        <f>HYPERLINK("https://otsuka-europe-crm.veevavault.com/ui/#object/sent_email__v/VBLZ025E82GNPYD", "SE-000275304")</f>
        <v>SE-000275304</v>
      </c>
      <c r="D3560" s="4" t="s">
        <v>11</v>
      </c>
      <c r="E3560" s="5">
        <v>0</v>
      </c>
      <c r="F3560" s="5">
        <v>0</v>
      </c>
      <c r="G3560" s="5">
        <v>0</v>
      </c>
      <c r="H3560" s="4" t="s">
        <v>11</v>
      </c>
      <c r="I3560" s="5">
        <v>0</v>
      </c>
      <c r="J3560" s="4">
        <v>45916.294861111113</v>
      </c>
    </row>
    <row r="3561" spans="1:10" x14ac:dyDescent="0.2">
      <c r="A3561" s="2" t="s">
        <v>10</v>
      </c>
      <c r="B3561" s="3" t="str">
        <f t="shared" si="65"/>
        <v>France - HCP Survey Email - June 2025</v>
      </c>
      <c r="C3561" s="3" t="str">
        <f>HYPERLINK("https://otsuka-europe-crm.veevavault.com/ui/#object/sent_email__v/VBLZ025E82GNPYE", "SE-000275305")</f>
        <v>SE-000275305</v>
      </c>
      <c r="D3561" s="4" t="s">
        <v>11</v>
      </c>
      <c r="E3561" s="5">
        <v>0</v>
      </c>
      <c r="F3561" s="5">
        <v>0</v>
      </c>
      <c r="G3561" s="5">
        <v>0</v>
      </c>
      <c r="H3561" s="4" t="s">
        <v>11</v>
      </c>
      <c r="I3561" s="5">
        <v>0</v>
      </c>
      <c r="J3561" s="4">
        <v>45916.294340277775</v>
      </c>
    </row>
    <row r="3562" spans="1:10" x14ac:dyDescent="0.2">
      <c r="A3562" s="2" t="s">
        <v>10</v>
      </c>
      <c r="B3562" s="3" t="str">
        <f t="shared" si="65"/>
        <v>France - HCP Survey Email - June 2025</v>
      </c>
      <c r="C3562" s="3" t="str">
        <f>HYPERLINK("https://otsuka-europe-crm.veevavault.com/ui/#object/sent_email__v/VBLZ025E82GNPYF", "SE-000275306")</f>
        <v>SE-000275306</v>
      </c>
      <c r="D3562" s="4" t="s">
        <v>11</v>
      </c>
      <c r="E3562" s="5">
        <v>0</v>
      </c>
      <c r="F3562" s="5">
        <v>0</v>
      </c>
      <c r="G3562" s="5">
        <v>0</v>
      </c>
      <c r="H3562" s="4" t="s">
        <v>11</v>
      </c>
      <c r="I3562" s="5">
        <v>0</v>
      </c>
      <c r="J3562" s="4">
        <v>45916.294560185182</v>
      </c>
    </row>
    <row r="3563" spans="1:10" x14ac:dyDescent="0.2">
      <c r="A3563" s="2" t="s">
        <v>10</v>
      </c>
      <c r="B3563" s="3" t="str">
        <f t="shared" si="65"/>
        <v>France - HCP Survey Email - June 2025</v>
      </c>
      <c r="C3563" s="3" t="str">
        <f>HYPERLINK("https://otsuka-europe-crm.veevavault.com/ui/#object/sent_email__v/VBLZ025E82GNPYH", "SE-000275308")</f>
        <v>SE-000275308</v>
      </c>
      <c r="D3563" s="4" t="s">
        <v>11</v>
      </c>
      <c r="E3563" s="5">
        <v>0</v>
      </c>
      <c r="F3563" s="5">
        <v>0</v>
      </c>
      <c r="G3563" s="5">
        <v>0</v>
      </c>
      <c r="H3563" s="4" t="s">
        <v>11</v>
      </c>
      <c r="I3563" s="5">
        <v>0</v>
      </c>
      <c r="J3563" s="4">
        <v>45916.294942129629</v>
      </c>
    </row>
    <row r="3564" spans="1:10" x14ac:dyDescent="0.2">
      <c r="A3564" s="2" t="s">
        <v>10</v>
      </c>
      <c r="B3564" s="3" t="str">
        <f t="shared" si="65"/>
        <v>France - HCP Survey Email - June 2025</v>
      </c>
      <c r="C3564" s="3" t="str">
        <f>HYPERLINK("https://otsuka-europe-crm.veevavault.com/ui/#object/sent_email__v/VBLZ025E82GNPYI", "SE-000275309")</f>
        <v>SE-000275309</v>
      </c>
      <c r="D3564" s="4" t="s">
        <v>11</v>
      </c>
      <c r="E3564" s="5">
        <v>0</v>
      </c>
      <c r="F3564" s="5">
        <v>0</v>
      </c>
      <c r="G3564" s="5">
        <v>0</v>
      </c>
      <c r="H3564" s="4" t="s">
        <v>11</v>
      </c>
      <c r="I3564" s="5">
        <v>0</v>
      </c>
      <c r="J3564" s="4">
        <v>45916.294293981482</v>
      </c>
    </row>
    <row r="3565" spans="1:10" x14ac:dyDescent="0.2">
      <c r="A3565" s="2" t="s">
        <v>10</v>
      </c>
      <c r="B3565" s="3" t="str">
        <f t="shared" si="65"/>
        <v>France - HCP Survey Email - June 2025</v>
      </c>
      <c r="C3565" s="3" t="str">
        <f>HYPERLINK("https://otsuka-europe-crm.veevavault.com/ui/#object/sent_email__v/VBLZ025E82GNPYJ", "SE-000275310")</f>
        <v>SE-000275310</v>
      </c>
      <c r="D3565" s="4">
        <v>45916.7033912037</v>
      </c>
      <c r="E3565" s="5">
        <v>1</v>
      </c>
      <c r="F3565" s="5">
        <v>1</v>
      </c>
      <c r="G3565" s="5">
        <v>0</v>
      </c>
      <c r="H3565" s="4" t="s">
        <v>11</v>
      </c>
      <c r="I3565" s="5">
        <v>0</v>
      </c>
      <c r="J3565" s="4">
        <v>45916.294618055559</v>
      </c>
    </row>
    <row r="3566" spans="1:10" x14ac:dyDescent="0.2">
      <c r="A3566" s="2" t="s">
        <v>10</v>
      </c>
      <c r="B3566" s="3" t="str">
        <f t="shared" si="65"/>
        <v>France - HCP Survey Email - June 2025</v>
      </c>
      <c r="C3566" s="3" t="str">
        <f>HYPERLINK("https://otsuka-europe-crm.veevavault.com/ui/#object/sent_email__v/VBLZ025E82GNPYK", "SE-000275311")</f>
        <v>SE-000275311</v>
      </c>
      <c r="D3566" s="4" t="s">
        <v>11</v>
      </c>
      <c r="E3566" s="5">
        <v>0</v>
      </c>
      <c r="F3566" s="5">
        <v>0</v>
      </c>
      <c r="G3566" s="5">
        <v>0</v>
      </c>
      <c r="H3566" s="4" t="s">
        <v>11</v>
      </c>
      <c r="I3566" s="5">
        <v>0</v>
      </c>
      <c r="J3566" s="4">
        <v>45916.294849537036</v>
      </c>
    </row>
    <row r="3567" spans="1:10" x14ac:dyDescent="0.2">
      <c r="A3567" s="2" t="s">
        <v>10</v>
      </c>
      <c r="B3567" s="3" t="str">
        <f t="shared" si="65"/>
        <v>France - HCP Survey Email - June 2025</v>
      </c>
      <c r="C3567" s="3" t="str">
        <f>HYPERLINK("https://otsuka-europe-crm.veevavault.com/ui/#object/sent_email__v/VBLZ025E82GNPYM", "SE-000275313")</f>
        <v>SE-000275313</v>
      </c>
      <c r="D3567" s="4">
        <v>45916.385347222225</v>
      </c>
      <c r="E3567" s="5">
        <v>1</v>
      </c>
      <c r="F3567" s="5">
        <v>1</v>
      </c>
      <c r="G3567" s="5">
        <v>0</v>
      </c>
      <c r="H3567" s="4" t="s">
        <v>11</v>
      </c>
      <c r="I3567" s="5">
        <v>0</v>
      </c>
      <c r="J3567" s="4">
        <v>45916.294305555559</v>
      </c>
    </row>
    <row r="3568" spans="1:10" x14ac:dyDescent="0.2">
      <c r="A3568" s="2" t="s">
        <v>10</v>
      </c>
      <c r="B3568" s="3" t="str">
        <f t="shared" si="65"/>
        <v>France - HCP Survey Email - June 2025</v>
      </c>
      <c r="C3568" s="3" t="str">
        <f>HYPERLINK("https://otsuka-europe-crm.veevavault.com/ui/#object/sent_email__v/VBLZ025E82GNPYN", "SE-000275314")</f>
        <v>SE-000275314</v>
      </c>
      <c r="D3568" s="4" t="s">
        <v>11</v>
      </c>
      <c r="E3568" s="5">
        <v>0</v>
      </c>
      <c r="F3568" s="5">
        <v>0</v>
      </c>
      <c r="G3568" s="5">
        <v>0</v>
      </c>
      <c r="H3568" s="4" t="s">
        <v>11</v>
      </c>
      <c r="I3568" s="5">
        <v>0</v>
      </c>
      <c r="J3568" s="4">
        <v>45916.294571759259</v>
      </c>
    </row>
    <row r="3569" spans="1:10" x14ac:dyDescent="0.2">
      <c r="A3569" s="2" t="s">
        <v>10</v>
      </c>
      <c r="B3569" s="3" t="str">
        <f t="shared" si="65"/>
        <v>France - HCP Survey Email - June 2025</v>
      </c>
      <c r="C3569" s="3" t="str">
        <f>HYPERLINK("https://otsuka-europe-crm.veevavault.com/ui/#object/sent_email__v/VBLZ025E82GNPYO", "SE-000275315")</f>
        <v>SE-000275315</v>
      </c>
      <c r="D3569" s="4" t="s">
        <v>11</v>
      </c>
      <c r="E3569" s="5">
        <v>0</v>
      </c>
      <c r="F3569" s="5">
        <v>0</v>
      </c>
      <c r="G3569" s="5">
        <v>0</v>
      </c>
      <c r="H3569" s="4" t="s">
        <v>11</v>
      </c>
      <c r="I3569" s="5">
        <v>0</v>
      </c>
      <c r="J3569" s="4">
        <v>45916.294953703706</v>
      </c>
    </row>
    <row r="3570" spans="1:10" x14ac:dyDescent="0.2">
      <c r="A3570" s="2" t="s">
        <v>10</v>
      </c>
      <c r="B3570" s="3" t="str">
        <f t="shared" si="65"/>
        <v>France - HCP Survey Email - June 2025</v>
      </c>
      <c r="C3570" s="3" t="str">
        <f>HYPERLINK("https://otsuka-europe-crm.veevavault.com/ui/#object/sent_email__v/VBLZ025E82GNPYP", "SE-000275316")</f>
        <v>SE-000275316</v>
      </c>
      <c r="D3570" s="4" t="s">
        <v>11</v>
      </c>
      <c r="E3570" s="5">
        <v>0</v>
      </c>
      <c r="F3570" s="5">
        <v>0</v>
      </c>
      <c r="G3570" s="5">
        <v>0</v>
      </c>
      <c r="H3570" s="4" t="s">
        <v>11</v>
      </c>
      <c r="I3570" s="5">
        <v>0</v>
      </c>
      <c r="J3570" s="4">
        <v>45916.294351851851</v>
      </c>
    </row>
    <row r="3571" spans="1:10" x14ac:dyDescent="0.2">
      <c r="A3571" s="2" t="s">
        <v>10</v>
      </c>
      <c r="B3571" s="3" t="str">
        <f t="shared" si="65"/>
        <v>France - HCP Survey Email - June 2025</v>
      </c>
      <c r="C3571" s="3" t="str">
        <f>HYPERLINK("https://otsuka-europe-crm.veevavault.com/ui/#object/sent_email__v/VBLZ025E82GNPYQ", "SE-000275317")</f>
        <v>SE-000275317</v>
      </c>
      <c r="D3571" s="4" t="s">
        <v>11</v>
      </c>
      <c r="E3571" s="5">
        <v>0</v>
      </c>
      <c r="F3571" s="5">
        <v>0</v>
      </c>
      <c r="G3571" s="5">
        <v>0</v>
      </c>
      <c r="H3571" s="4" t="s">
        <v>11</v>
      </c>
      <c r="I3571" s="5">
        <v>0</v>
      </c>
      <c r="J3571" s="4">
        <v>45916.294675925928</v>
      </c>
    </row>
    <row r="3572" spans="1:10" x14ac:dyDescent="0.2">
      <c r="A3572" s="2" t="s">
        <v>10</v>
      </c>
      <c r="B3572" s="3" t="str">
        <f t="shared" si="65"/>
        <v>France - HCP Survey Email - June 2025</v>
      </c>
      <c r="C3572" s="3" t="str">
        <f>HYPERLINK("https://otsuka-europe-crm.veevavault.com/ui/#object/sent_email__v/VBLZ025E82GNPYR", "SE-000275318")</f>
        <v>SE-000275318</v>
      </c>
      <c r="D3572" s="4" t="s">
        <v>11</v>
      </c>
      <c r="E3572" s="5">
        <v>0</v>
      </c>
      <c r="F3572" s="5">
        <v>0</v>
      </c>
      <c r="G3572" s="5">
        <v>0</v>
      </c>
      <c r="H3572" s="4" t="s">
        <v>11</v>
      </c>
      <c r="I3572" s="5">
        <v>0</v>
      </c>
      <c r="J3572" s="4">
        <v>45916.294641203705</v>
      </c>
    </row>
    <row r="3573" spans="1:10" x14ac:dyDescent="0.2">
      <c r="A3573" s="2" t="s">
        <v>10</v>
      </c>
      <c r="B3573" s="3" t="str">
        <f t="shared" si="65"/>
        <v>France - HCP Survey Email - June 2025</v>
      </c>
      <c r="C3573" s="3" t="str">
        <f>HYPERLINK("https://otsuka-europe-crm.veevavault.com/ui/#object/sent_email__v/VBLZ025E82GNPYS", "SE-000275319")</f>
        <v>SE-000275319</v>
      </c>
      <c r="D3573" s="4" t="s">
        <v>11</v>
      </c>
      <c r="E3573" s="5">
        <v>0</v>
      </c>
      <c r="F3573" s="5">
        <v>0</v>
      </c>
      <c r="G3573" s="5">
        <v>0</v>
      </c>
      <c r="H3573" s="4" t="s">
        <v>11</v>
      </c>
      <c r="I3573" s="5">
        <v>0</v>
      </c>
      <c r="J3573" s="4">
        <v>45916.294930555552</v>
      </c>
    </row>
    <row r="3574" spans="1:10" x14ac:dyDescent="0.2">
      <c r="A3574" s="2" t="s">
        <v>10</v>
      </c>
      <c r="B3574" s="3" t="str">
        <f t="shared" si="65"/>
        <v>France - HCP Survey Email - June 2025</v>
      </c>
      <c r="C3574" s="3" t="str">
        <f>HYPERLINK("https://otsuka-europe-crm.veevavault.com/ui/#object/sent_email__v/VBLZ025E82GNPYT", "SE-000275320")</f>
        <v>SE-000275320</v>
      </c>
      <c r="D3574" s="4" t="s">
        <v>11</v>
      </c>
      <c r="E3574" s="5">
        <v>0</v>
      </c>
      <c r="F3574" s="5">
        <v>0</v>
      </c>
      <c r="G3574" s="5">
        <v>0</v>
      </c>
      <c r="H3574" s="4" t="s">
        <v>11</v>
      </c>
      <c r="I3574" s="5">
        <v>0</v>
      </c>
      <c r="J3574" s="4">
        <v>45916.294293981482</v>
      </c>
    </row>
    <row r="3575" spans="1:10" x14ac:dyDescent="0.2">
      <c r="A3575" s="2" t="s">
        <v>10</v>
      </c>
      <c r="B3575" s="3" t="str">
        <f t="shared" si="65"/>
        <v>France - HCP Survey Email - June 2025</v>
      </c>
      <c r="C3575" s="3" t="str">
        <f>HYPERLINK("https://otsuka-europe-crm.veevavault.com/ui/#object/sent_email__v/VBLZ025E82GNPYU", "SE-000275321")</f>
        <v>SE-000275321</v>
      </c>
      <c r="D3575" s="4" t="s">
        <v>11</v>
      </c>
      <c r="E3575" s="5">
        <v>0</v>
      </c>
      <c r="F3575" s="5">
        <v>0</v>
      </c>
      <c r="G3575" s="5">
        <v>0</v>
      </c>
      <c r="H3575" s="4" t="s">
        <v>11</v>
      </c>
      <c r="I3575" s="5">
        <v>0</v>
      </c>
      <c r="J3575" s="4">
        <v>45916.294293981482</v>
      </c>
    </row>
    <row r="3576" spans="1:10" x14ac:dyDescent="0.2">
      <c r="A3576" s="2" t="s">
        <v>10</v>
      </c>
      <c r="B3576" s="3" t="str">
        <f t="shared" si="65"/>
        <v>France - HCP Survey Email - June 2025</v>
      </c>
      <c r="C3576" s="3" t="str">
        <f>HYPERLINK("https://otsuka-europe-crm.veevavault.com/ui/#object/sent_email__v/VBLZ025E82GNPYW", "SE-000275323")</f>
        <v>SE-000275323</v>
      </c>
      <c r="D3576" s="4" t="s">
        <v>11</v>
      </c>
      <c r="E3576" s="5">
        <v>0</v>
      </c>
      <c r="F3576" s="5">
        <v>0</v>
      </c>
      <c r="G3576" s="5">
        <v>0</v>
      </c>
      <c r="H3576" s="4" t="s">
        <v>11</v>
      </c>
      <c r="I3576" s="5">
        <v>0</v>
      </c>
      <c r="J3576" s="4">
        <v>45916.294641203705</v>
      </c>
    </row>
    <row r="3577" spans="1:10" x14ac:dyDescent="0.2">
      <c r="A3577" s="2" t="s">
        <v>10</v>
      </c>
      <c r="B3577" s="3" t="str">
        <f t="shared" si="65"/>
        <v>France - HCP Survey Email - June 2025</v>
      </c>
      <c r="C3577" s="3" t="str">
        <f>HYPERLINK("https://otsuka-europe-crm.veevavault.com/ui/#object/sent_email__v/VBLZ025E82GNPYX", "SE-000275324")</f>
        <v>SE-000275324</v>
      </c>
      <c r="D3577" s="4" t="s">
        <v>11</v>
      </c>
      <c r="E3577" s="5">
        <v>0</v>
      </c>
      <c r="F3577" s="5">
        <v>0</v>
      </c>
      <c r="G3577" s="5">
        <v>0</v>
      </c>
      <c r="H3577" s="4" t="s">
        <v>11</v>
      </c>
      <c r="I3577" s="5">
        <v>0</v>
      </c>
      <c r="J3577" s="4">
        <v>45916.295011574075</v>
      </c>
    </row>
    <row r="3578" spans="1:10" x14ac:dyDescent="0.2">
      <c r="A3578" s="2" t="s">
        <v>10</v>
      </c>
      <c r="B3578" s="3" t="str">
        <f t="shared" si="65"/>
        <v>France - HCP Survey Email - June 2025</v>
      </c>
      <c r="C3578" s="3" t="str">
        <f>HYPERLINK("https://otsuka-europe-crm.veevavault.com/ui/#object/sent_email__v/VBLZ025E82GNPYY", "SE-000275325")</f>
        <v>SE-000275325</v>
      </c>
      <c r="D3578" s="4" t="s">
        <v>11</v>
      </c>
      <c r="E3578" s="5">
        <v>0</v>
      </c>
      <c r="F3578" s="5">
        <v>0</v>
      </c>
      <c r="G3578" s="5">
        <v>0</v>
      </c>
      <c r="H3578" s="4" t="s">
        <v>11</v>
      </c>
      <c r="I3578" s="5">
        <v>0</v>
      </c>
      <c r="J3578" s="4">
        <v>45916.294340277775</v>
      </c>
    </row>
    <row r="3579" spans="1:10" x14ac:dyDescent="0.2">
      <c r="A3579" s="2" t="s">
        <v>10</v>
      </c>
      <c r="B3579" s="3" t="str">
        <f t="shared" si="65"/>
        <v>France - HCP Survey Email - June 2025</v>
      </c>
      <c r="C3579" s="3" t="str">
        <f>HYPERLINK("https://otsuka-europe-crm.veevavault.com/ui/#object/sent_email__v/VBLZ025E82GNPYZ", "SE-000275326")</f>
        <v>SE-000275326</v>
      </c>
      <c r="D3579" s="4" t="s">
        <v>11</v>
      </c>
      <c r="E3579" s="5">
        <v>0</v>
      </c>
      <c r="F3579" s="5">
        <v>0</v>
      </c>
      <c r="G3579" s="5">
        <v>0</v>
      </c>
      <c r="H3579" s="4" t="s">
        <v>11</v>
      </c>
      <c r="I3579" s="5">
        <v>0</v>
      </c>
      <c r="J3579" s="4">
        <v>45916.294641203705</v>
      </c>
    </row>
    <row r="3580" spans="1:10" x14ac:dyDescent="0.2">
      <c r="A3580" s="2" t="s">
        <v>10</v>
      </c>
      <c r="B3580" s="3" t="str">
        <f t="shared" si="65"/>
        <v>France - HCP Survey Email - June 2025</v>
      </c>
      <c r="C3580" s="3" t="str">
        <f>HYPERLINK("https://otsuka-europe-crm.veevavault.com/ui/#object/sent_email__v/VBLZ025E82GNPZ0", "SE-000275327")</f>
        <v>SE-000275327</v>
      </c>
      <c r="D3580" s="4">
        <v>45916.316435185188</v>
      </c>
      <c r="E3580" s="5">
        <v>1</v>
      </c>
      <c r="F3580" s="5">
        <v>1</v>
      </c>
      <c r="G3580" s="5">
        <v>0</v>
      </c>
      <c r="H3580" s="4" t="s">
        <v>11</v>
      </c>
      <c r="I3580" s="5">
        <v>0</v>
      </c>
      <c r="J3580" s="4">
        <v>45916.294930555552</v>
      </c>
    </row>
    <row r="3581" spans="1:10" x14ac:dyDescent="0.2">
      <c r="A3581" s="2" t="s">
        <v>10</v>
      </c>
      <c r="B3581" s="3" t="str">
        <f t="shared" si="65"/>
        <v>France - HCP Survey Email - June 2025</v>
      </c>
      <c r="C3581" s="3" t="str">
        <f>HYPERLINK("https://otsuka-europe-crm.veevavault.com/ui/#object/sent_email__v/VBLZ025E82GNPZ1", "SE-000275328")</f>
        <v>SE-000275328</v>
      </c>
      <c r="D3581" s="4" t="s">
        <v>11</v>
      </c>
      <c r="E3581" s="5">
        <v>0</v>
      </c>
      <c r="F3581" s="5">
        <v>0</v>
      </c>
      <c r="G3581" s="5">
        <v>0</v>
      </c>
      <c r="H3581" s="4" t="s">
        <v>11</v>
      </c>
      <c r="I3581" s="5">
        <v>0</v>
      </c>
      <c r="J3581" s="4">
        <v>45916.294224537036</v>
      </c>
    </row>
    <row r="3582" spans="1:10" x14ac:dyDescent="0.2">
      <c r="A3582" s="2" t="s">
        <v>10</v>
      </c>
      <c r="B3582" s="3" t="str">
        <f t="shared" si="65"/>
        <v>France - HCP Survey Email - June 2025</v>
      </c>
      <c r="C3582" s="3" t="str">
        <f>HYPERLINK("https://otsuka-europe-crm.veevavault.com/ui/#object/sent_email__v/VBLZ025E82GNPZ2", "SE-000275329")</f>
        <v>SE-000275329</v>
      </c>
      <c r="D3582" s="4" t="s">
        <v>11</v>
      </c>
      <c r="E3582" s="5">
        <v>0</v>
      </c>
      <c r="F3582" s="5">
        <v>0</v>
      </c>
      <c r="G3582" s="5">
        <v>0</v>
      </c>
      <c r="H3582" s="4" t="s">
        <v>11</v>
      </c>
      <c r="I3582" s="5">
        <v>0</v>
      </c>
      <c r="J3582" s="4">
        <v>45916.294340277775</v>
      </c>
    </row>
    <row r="3583" spans="1:10" x14ac:dyDescent="0.2">
      <c r="A3583" s="2" t="s">
        <v>10</v>
      </c>
      <c r="B3583" s="3" t="str">
        <f t="shared" si="65"/>
        <v>France - HCP Survey Email - June 2025</v>
      </c>
      <c r="C3583" s="3" t="str">
        <f>HYPERLINK("https://otsuka-europe-crm.veevavault.com/ui/#object/sent_email__v/VBLZ025E82GNPZ3", "SE-000275330")</f>
        <v>SE-000275330</v>
      </c>
      <c r="D3583" s="4" t="s">
        <v>11</v>
      </c>
      <c r="E3583" s="5">
        <v>0</v>
      </c>
      <c r="F3583" s="5">
        <v>0</v>
      </c>
      <c r="G3583" s="5">
        <v>0</v>
      </c>
      <c r="H3583" s="4" t="s">
        <v>11</v>
      </c>
      <c r="I3583" s="5">
        <v>0</v>
      </c>
      <c r="J3583" s="4">
        <v>45916.294571759259</v>
      </c>
    </row>
    <row r="3584" spans="1:10" x14ac:dyDescent="0.2">
      <c r="A3584" s="2" t="s">
        <v>10</v>
      </c>
      <c r="B3584" s="3" t="str">
        <f t="shared" si="65"/>
        <v>France - HCP Survey Email - June 2025</v>
      </c>
      <c r="C3584" s="3" t="str">
        <f>HYPERLINK("https://otsuka-europe-crm.veevavault.com/ui/#object/sent_email__v/VBLZ025E82GNPZ4", "SE-000275331")</f>
        <v>SE-000275331</v>
      </c>
      <c r="D3584" s="4" t="s">
        <v>11</v>
      </c>
      <c r="E3584" s="5">
        <v>0</v>
      </c>
      <c r="F3584" s="5">
        <v>0</v>
      </c>
      <c r="G3584" s="5">
        <v>0</v>
      </c>
      <c r="H3584" s="4" t="s">
        <v>11</v>
      </c>
      <c r="I3584" s="5">
        <v>0</v>
      </c>
      <c r="J3584" s="4">
        <v>45916.295046296298</v>
      </c>
    </row>
    <row r="3585" spans="1:10" x14ac:dyDescent="0.2">
      <c r="A3585" s="2" t="s">
        <v>10</v>
      </c>
      <c r="B3585" s="3" t="str">
        <f t="shared" ref="B3585:B3648" si="66">HYPERLINK("https://otsuka-europe-crm.veevavault.com/ui/#object/approved_document__v/V5OZ025E82TMV97", "France - HCP Survey Email - June 2025")</f>
        <v>France - HCP Survey Email - June 2025</v>
      </c>
      <c r="C3585" s="3" t="str">
        <f>HYPERLINK("https://otsuka-europe-crm.veevavault.com/ui/#object/sent_email__v/VBLZ025E82GNPZ5", "SE-000275332")</f>
        <v>SE-000275332</v>
      </c>
      <c r="D3585" s="4" t="s">
        <v>11</v>
      </c>
      <c r="E3585" s="5">
        <v>0</v>
      </c>
      <c r="F3585" s="5">
        <v>0</v>
      </c>
      <c r="G3585" s="5">
        <v>0</v>
      </c>
      <c r="H3585" s="4" t="s">
        <v>11</v>
      </c>
      <c r="I3585" s="5">
        <v>0</v>
      </c>
      <c r="J3585" s="4">
        <v>45916.294282407405</v>
      </c>
    </row>
    <row r="3586" spans="1:10" x14ac:dyDescent="0.2">
      <c r="A3586" s="2" t="s">
        <v>10</v>
      </c>
      <c r="B3586" s="3" t="str">
        <f t="shared" si="66"/>
        <v>France - HCP Survey Email - June 2025</v>
      </c>
      <c r="C3586" s="3" t="str">
        <f>HYPERLINK("https://otsuka-europe-crm.veevavault.com/ui/#object/sent_email__v/VBLZ025E82GNPZ6", "SE-000275333")</f>
        <v>SE-000275333</v>
      </c>
      <c r="D3586" s="4" t="s">
        <v>11</v>
      </c>
      <c r="E3586" s="5">
        <v>0</v>
      </c>
      <c r="F3586" s="5">
        <v>0</v>
      </c>
      <c r="G3586" s="5">
        <v>0</v>
      </c>
      <c r="H3586" s="4" t="s">
        <v>11</v>
      </c>
      <c r="I3586" s="5">
        <v>0</v>
      </c>
      <c r="J3586" s="4">
        <v>45916.294571759259</v>
      </c>
    </row>
    <row r="3587" spans="1:10" x14ac:dyDescent="0.2">
      <c r="A3587" s="2" t="s">
        <v>10</v>
      </c>
      <c r="B3587" s="3" t="str">
        <f t="shared" si="66"/>
        <v>France - HCP Survey Email - June 2025</v>
      </c>
      <c r="C3587" s="3" t="str">
        <f>HYPERLINK("https://otsuka-europe-crm.veevavault.com/ui/#object/sent_email__v/VBLZ025E82GNPZ7", "SE-000275334")</f>
        <v>SE-000275334</v>
      </c>
      <c r="D3587" s="4" t="s">
        <v>11</v>
      </c>
      <c r="E3587" s="5">
        <v>0</v>
      </c>
      <c r="F3587" s="5">
        <v>0</v>
      </c>
      <c r="G3587" s="5">
        <v>0</v>
      </c>
      <c r="H3587" s="4" t="s">
        <v>11</v>
      </c>
      <c r="I3587" s="5">
        <v>0</v>
      </c>
      <c r="J3587" s="4">
        <v>45916.294699074075</v>
      </c>
    </row>
    <row r="3588" spans="1:10" x14ac:dyDescent="0.2">
      <c r="A3588" s="2" t="s">
        <v>10</v>
      </c>
      <c r="B3588" s="3" t="str">
        <f t="shared" si="66"/>
        <v>France - HCP Survey Email - June 2025</v>
      </c>
      <c r="C3588" s="3" t="str">
        <f>HYPERLINK("https://otsuka-europe-crm.veevavault.com/ui/#object/sent_email__v/VBLZ025E82GNPZ8", "SE-000275335")</f>
        <v>SE-000275335</v>
      </c>
      <c r="D3588" s="4" t="s">
        <v>11</v>
      </c>
      <c r="E3588" s="5">
        <v>0</v>
      </c>
      <c r="F3588" s="5">
        <v>0</v>
      </c>
      <c r="G3588" s="5">
        <v>0</v>
      </c>
      <c r="H3588" s="4" t="s">
        <v>11</v>
      </c>
      <c r="I3588" s="5">
        <v>0</v>
      </c>
      <c r="J3588" s="4">
        <v>45916.294999999998</v>
      </c>
    </row>
    <row r="3589" spans="1:10" x14ac:dyDescent="0.2">
      <c r="A3589" s="2" t="s">
        <v>10</v>
      </c>
      <c r="B3589" s="3" t="str">
        <f t="shared" si="66"/>
        <v>France - HCP Survey Email - June 2025</v>
      </c>
      <c r="C3589" s="3" t="str">
        <f>HYPERLINK("https://otsuka-europe-crm.veevavault.com/ui/#object/sent_email__v/VBLZ025E82GNPZ9", "SE-000275336")</f>
        <v>SE-000275336</v>
      </c>
      <c r="D3589" s="4" t="s">
        <v>11</v>
      </c>
      <c r="E3589" s="5">
        <v>0</v>
      </c>
      <c r="F3589" s="5">
        <v>0</v>
      </c>
      <c r="G3589" s="5">
        <v>0</v>
      </c>
      <c r="H3589" s="4" t="s">
        <v>11</v>
      </c>
      <c r="I3589" s="5">
        <v>0</v>
      </c>
      <c r="J3589" s="4">
        <v>45916.294270833336</v>
      </c>
    </row>
    <row r="3590" spans="1:10" x14ac:dyDescent="0.2">
      <c r="A3590" s="2" t="s">
        <v>10</v>
      </c>
      <c r="B3590" s="3" t="str">
        <f t="shared" si="66"/>
        <v>France - HCP Survey Email - June 2025</v>
      </c>
      <c r="C3590" s="3" t="str">
        <f>HYPERLINK("https://otsuka-europe-crm.veevavault.com/ui/#object/sent_email__v/VBLZ025E82GNPZA", "SE-000275337")</f>
        <v>SE-000275337</v>
      </c>
      <c r="D3590" s="4">
        <v>45916.64439814815</v>
      </c>
      <c r="E3590" s="5">
        <v>1</v>
      </c>
      <c r="F3590" s="5">
        <v>2</v>
      </c>
      <c r="G3590" s="5">
        <v>0</v>
      </c>
      <c r="H3590" s="4" t="s">
        <v>11</v>
      </c>
      <c r="I3590" s="5">
        <v>0</v>
      </c>
      <c r="J3590" s="4">
        <v>45916.294583333336</v>
      </c>
    </row>
    <row r="3591" spans="1:10" x14ac:dyDescent="0.2">
      <c r="A3591" s="2" t="s">
        <v>10</v>
      </c>
      <c r="B3591" s="3" t="str">
        <f t="shared" si="66"/>
        <v>France - HCP Survey Email - June 2025</v>
      </c>
      <c r="C3591" s="3" t="str">
        <f>HYPERLINK("https://otsuka-europe-crm.veevavault.com/ui/#object/sent_email__v/VBLZ025E82GNPZB", "SE-000275338")</f>
        <v>SE-000275338</v>
      </c>
      <c r="D3591" s="4" t="s">
        <v>11</v>
      </c>
      <c r="E3591" s="5">
        <v>0</v>
      </c>
      <c r="F3591" s="5">
        <v>0</v>
      </c>
      <c r="G3591" s="5">
        <v>0</v>
      </c>
      <c r="H3591" s="4" t="s">
        <v>11</v>
      </c>
      <c r="I3591" s="5">
        <v>0</v>
      </c>
      <c r="J3591" s="4">
        <v>45916.294895833336</v>
      </c>
    </row>
    <row r="3592" spans="1:10" x14ac:dyDescent="0.2">
      <c r="A3592" s="2" t="s">
        <v>10</v>
      </c>
      <c r="B3592" s="3" t="str">
        <f t="shared" si="66"/>
        <v>France - HCP Survey Email - June 2025</v>
      </c>
      <c r="C3592" s="3" t="str">
        <f>HYPERLINK("https://otsuka-europe-crm.veevavault.com/ui/#object/sent_email__v/VBLZ025E82GNPZD", "SE-000275340")</f>
        <v>SE-000275340</v>
      </c>
      <c r="D3592" s="4" t="s">
        <v>11</v>
      </c>
      <c r="E3592" s="5">
        <v>0</v>
      </c>
      <c r="F3592" s="5">
        <v>0</v>
      </c>
      <c r="G3592" s="5">
        <v>0</v>
      </c>
      <c r="H3592" s="4" t="s">
        <v>11</v>
      </c>
      <c r="I3592" s="5">
        <v>0</v>
      </c>
      <c r="J3592" s="4">
        <v>45916.294398148151</v>
      </c>
    </row>
    <row r="3593" spans="1:10" x14ac:dyDescent="0.2">
      <c r="A3593" s="2" t="s">
        <v>10</v>
      </c>
      <c r="B3593" s="3" t="str">
        <f t="shared" si="66"/>
        <v>France - HCP Survey Email - June 2025</v>
      </c>
      <c r="C3593" s="3" t="str">
        <f>HYPERLINK("https://otsuka-europe-crm.veevavault.com/ui/#object/sent_email__v/VBLZ025E82GNPZE", "SE-000275341")</f>
        <v>SE-000275341</v>
      </c>
      <c r="D3593" s="4" t="s">
        <v>11</v>
      </c>
      <c r="E3593" s="5">
        <v>0</v>
      </c>
      <c r="F3593" s="5">
        <v>0</v>
      </c>
      <c r="G3593" s="5">
        <v>0</v>
      </c>
      <c r="H3593" s="4" t="s">
        <v>11</v>
      </c>
      <c r="I3593" s="5">
        <v>0</v>
      </c>
      <c r="J3593" s="4">
        <v>45916.294675925928</v>
      </c>
    </row>
    <row r="3594" spans="1:10" x14ac:dyDescent="0.2">
      <c r="A3594" s="2" t="s">
        <v>10</v>
      </c>
      <c r="B3594" s="3" t="str">
        <f t="shared" si="66"/>
        <v>France - HCP Survey Email - June 2025</v>
      </c>
      <c r="C3594" s="3" t="str">
        <f>HYPERLINK("https://otsuka-europe-crm.veevavault.com/ui/#object/sent_email__v/VBLZ025E82GNPZF", "SE-000275342")</f>
        <v>SE-000275342</v>
      </c>
      <c r="D3594" s="4" t="s">
        <v>11</v>
      </c>
      <c r="E3594" s="5">
        <v>0</v>
      </c>
      <c r="F3594" s="5">
        <v>0</v>
      </c>
      <c r="G3594" s="5">
        <v>0</v>
      </c>
      <c r="H3594" s="4" t="s">
        <v>11</v>
      </c>
      <c r="I3594" s="5">
        <v>0</v>
      </c>
      <c r="J3594" s="4">
        <v>45916.294965277775</v>
      </c>
    </row>
    <row r="3595" spans="1:10" x14ac:dyDescent="0.2">
      <c r="A3595" s="2" t="s">
        <v>10</v>
      </c>
      <c r="B3595" s="3" t="str">
        <f t="shared" si="66"/>
        <v>France - HCP Survey Email - June 2025</v>
      </c>
      <c r="C3595" s="3" t="str">
        <f>HYPERLINK("https://otsuka-europe-crm.veevavault.com/ui/#object/sent_email__v/VBLZ025E82GNPZG", "SE-000275343")</f>
        <v>SE-000275343</v>
      </c>
      <c r="D3595" s="4" t="s">
        <v>11</v>
      </c>
      <c r="E3595" s="5">
        <v>0</v>
      </c>
      <c r="F3595" s="5">
        <v>0</v>
      </c>
      <c r="G3595" s="5">
        <v>0</v>
      </c>
      <c r="H3595" s="4" t="s">
        <v>11</v>
      </c>
      <c r="I3595" s="5">
        <v>0</v>
      </c>
      <c r="J3595" s="4">
        <v>45916.294374999998</v>
      </c>
    </row>
    <row r="3596" spans="1:10" x14ac:dyDescent="0.2">
      <c r="A3596" s="2" t="s">
        <v>10</v>
      </c>
      <c r="B3596" s="3" t="str">
        <f t="shared" si="66"/>
        <v>France - HCP Survey Email - June 2025</v>
      </c>
      <c r="C3596" s="3" t="str">
        <f>HYPERLINK("https://otsuka-europe-crm.veevavault.com/ui/#object/sent_email__v/VBLZ025E82GNPZH", "SE-000275344")</f>
        <v>SE-000275344</v>
      </c>
      <c r="D3596" s="4" t="s">
        <v>11</v>
      </c>
      <c r="E3596" s="5">
        <v>0</v>
      </c>
      <c r="F3596" s="5">
        <v>0</v>
      </c>
      <c r="G3596" s="5">
        <v>0</v>
      </c>
      <c r="H3596" s="4" t="s">
        <v>11</v>
      </c>
      <c r="I3596" s="5">
        <v>0</v>
      </c>
      <c r="J3596" s="4">
        <v>45916.294490740744</v>
      </c>
    </row>
    <row r="3597" spans="1:10" x14ac:dyDescent="0.2">
      <c r="A3597" s="2" t="s">
        <v>10</v>
      </c>
      <c r="B3597" s="3" t="str">
        <f t="shared" si="66"/>
        <v>France - HCP Survey Email - June 2025</v>
      </c>
      <c r="C3597" s="3" t="str">
        <f>HYPERLINK("https://otsuka-europe-crm.veevavault.com/ui/#object/sent_email__v/VBLZ025E82GNPZI", "SE-000275345")</f>
        <v>SE-000275345</v>
      </c>
      <c r="D3597" s="4" t="s">
        <v>11</v>
      </c>
      <c r="E3597" s="5">
        <v>0</v>
      </c>
      <c r="F3597" s="5">
        <v>0</v>
      </c>
      <c r="G3597" s="5">
        <v>0</v>
      </c>
      <c r="H3597" s="4" t="s">
        <v>11</v>
      </c>
      <c r="I3597" s="5">
        <v>0</v>
      </c>
      <c r="J3597" s="4">
        <v>45916.294652777775</v>
      </c>
    </row>
    <row r="3598" spans="1:10" x14ac:dyDescent="0.2">
      <c r="A3598" s="2" t="s">
        <v>10</v>
      </c>
      <c r="B3598" s="3" t="str">
        <f t="shared" si="66"/>
        <v>France - HCP Survey Email - June 2025</v>
      </c>
      <c r="C3598" s="3" t="str">
        <f>HYPERLINK("https://otsuka-europe-crm.veevavault.com/ui/#object/sent_email__v/VBLZ025E82GNPZJ", "SE-000275346")</f>
        <v>SE-000275346</v>
      </c>
      <c r="D3598" s="4" t="s">
        <v>11</v>
      </c>
      <c r="E3598" s="5">
        <v>0</v>
      </c>
      <c r="F3598" s="5">
        <v>0</v>
      </c>
      <c r="G3598" s="5">
        <v>0</v>
      </c>
      <c r="H3598" s="4" t="s">
        <v>11</v>
      </c>
      <c r="I3598" s="5">
        <v>0</v>
      </c>
      <c r="J3598" s="4">
        <v>45916.294953703706</v>
      </c>
    </row>
    <row r="3599" spans="1:10" x14ac:dyDescent="0.2">
      <c r="A3599" s="2" t="s">
        <v>10</v>
      </c>
      <c r="B3599" s="3" t="str">
        <f t="shared" si="66"/>
        <v>France - HCP Survey Email - June 2025</v>
      </c>
      <c r="C3599" s="3" t="str">
        <f>HYPERLINK("https://otsuka-europe-crm.veevavault.com/ui/#object/sent_email__v/VBLZ025E82GNPZK", "SE-000275347")</f>
        <v>SE-000275347</v>
      </c>
      <c r="D3599" s="4" t="s">
        <v>11</v>
      </c>
      <c r="E3599" s="5">
        <v>0</v>
      </c>
      <c r="F3599" s="5">
        <v>0</v>
      </c>
      <c r="G3599" s="5">
        <v>0</v>
      </c>
      <c r="H3599" s="4" t="s">
        <v>11</v>
      </c>
      <c r="I3599" s="5">
        <v>0</v>
      </c>
      <c r="J3599" s="4">
        <v>45916.294317129628</v>
      </c>
    </row>
    <row r="3600" spans="1:10" x14ac:dyDescent="0.2">
      <c r="A3600" s="2" t="s">
        <v>10</v>
      </c>
      <c r="B3600" s="3" t="str">
        <f t="shared" si="66"/>
        <v>France - HCP Survey Email - June 2025</v>
      </c>
      <c r="C3600" s="3" t="str">
        <f>HYPERLINK("https://otsuka-europe-crm.veevavault.com/ui/#object/sent_email__v/VBLZ025E82GNPZL", "SE-000275348")</f>
        <v>SE-000275348</v>
      </c>
      <c r="D3600" s="4" t="s">
        <v>11</v>
      </c>
      <c r="E3600" s="5">
        <v>0</v>
      </c>
      <c r="F3600" s="5">
        <v>0</v>
      </c>
      <c r="G3600" s="5">
        <v>0</v>
      </c>
      <c r="H3600" s="4" t="s">
        <v>11</v>
      </c>
      <c r="I3600" s="5">
        <v>0</v>
      </c>
      <c r="J3600" s="4">
        <v>45916.294722222221</v>
      </c>
    </row>
    <row r="3601" spans="1:10" x14ac:dyDescent="0.2">
      <c r="A3601" s="2" t="s">
        <v>10</v>
      </c>
      <c r="B3601" s="3" t="str">
        <f t="shared" si="66"/>
        <v>France - HCP Survey Email - June 2025</v>
      </c>
      <c r="C3601" s="3" t="str">
        <f>HYPERLINK("https://otsuka-europe-crm.veevavault.com/ui/#object/sent_email__v/VBLZ025E82GNPZM", "SE-000275349")</f>
        <v>SE-000275349</v>
      </c>
      <c r="D3601" s="4" t="s">
        <v>11</v>
      </c>
      <c r="E3601" s="5">
        <v>0</v>
      </c>
      <c r="F3601" s="5">
        <v>0</v>
      </c>
      <c r="G3601" s="5">
        <v>0</v>
      </c>
      <c r="H3601" s="4" t="s">
        <v>11</v>
      </c>
      <c r="I3601" s="5">
        <v>0</v>
      </c>
      <c r="J3601" s="4">
        <v>45916.294895833336</v>
      </c>
    </row>
    <row r="3602" spans="1:10" x14ac:dyDescent="0.2">
      <c r="A3602" s="2" t="s">
        <v>10</v>
      </c>
      <c r="B3602" s="3" t="str">
        <f t="shared" si="66"/>
        <v>France - HCP Survey Email - June 2025</v>
      </c>
      <c r="C3602" s="3" t="str">
        <f>HYPERLINK("https://otsuka-europe-crm.veevavault.com/ui/#object/sent_email__v/VBLZ025E82GNPZN", "SE-000275350")</f>
        <v>SE-000275350</v>
      </c>
      <c r="D3602" s="4" t="s">
        <v>11</v>
      </c>
      <c r="E3602" s="5">
        <v>0</v>
      </c>
      <c r="F3602" s="5">
        <v>0</v>
      </c>
      <c r="G3602" s="5">
        <v>0</v>
      </c>
      <c r="H3602" s="4" t="s">
        <v>11</v>
      </c>
      <c r="I3602" s="5">
        <v>0</v>
      </c>
      <c r="J3602" s="4">
        <v>45916.294247685182</v>
      </c>
    </row>
    <row r="3603" spans="1:10" x14ac:dyDescent="0.2">
      <c r="A3603" s="2" t="s">
        <v>10</v>
      </c>
      <c r="B3603" s="3" t="str">
        <f t="shared" si="66"/>
        <v>France - HCP Survey Email - June 2025</v>
      </c>
      <c r="C3603" s="3" t="str">
        <f>HYPERLINK("https://otsuka-europe-crm.veevavault.com/ui/#object/sent_email__v/VBLZ025E82GNPZO", "SE-000275351")</f>
        <v>SE-000275351</v>
      </c>
      <c r="D3603" s="4" t="s">
        <v>11</v>
      </c>
      <c r="E3603" s="5">
        <v>0</v>
      </c>
      <c r="F3603" s="5">
        <v>0</v>
      </c>
      <c r="G3603" s="5">
        <v>0</v>
      </c>
      <c r="H3603" s="4" t="s">
        <v>11</v>
      </c>
      <c r="I3603" s="5">
        <v>0</v>
      </c>
      <c r="J3603" s="4">
        <v>45916.294351851851</v>
      </c>
    </row>
    <row r="3604" spans="1:10" x14ac:dyDescent="0.2">
      <c r="A3604" s="2" t="s">
        <v>10</v>
      </c>
      <c r="B3604" s="3" t="str">
        <f t="shared" si="66"/>
        <v>France - HCP Survey Email - June 2025</v>
      </c>
      <c r="C3604" s="3" t="str">
        <f>HYPERLINK("https://otsuka-europe-crm.veevavault.com/ui/#object/sent_email__v/VBLZ025E82GNPZP", "SE-000275352")</f>
        <v>SE-000275352</v>
      </c>
      <c r="D3604" s="4">
        <v>45916.451828703706</v>
      </c>
      <c r="E3604" s="5">
        <v>1</v>
      </c>
      <c r="F3604" s="5">
        <v>3</v>
      </c>
      <c r="G3604" s="5">
        <v>0</v>
      </c>
      <c r="H3604" s="4" t="s">
        <v>11</v>
      </c>
      <c r="I3604" s="5">
        <v>0</v>
      </c>
      <c r="J3604" s="4">
        <v>45916.294594907406</v>
      </c>
    </row>
    <row r="3605" spans="1:10" x14ac:dyDescent="0.2">
      <c r="A3605" s="2" t="s">
        <v>10</v>
      </c>
      <c r="B3605" s="3" t="str">
        <f t="shared" si="66"/>
        <v>France - HCP Survey Email - June 2025</v>
      </c>
      <c r="C3605" s="3" t="str">
        <f>HYPERLINK("https://otsuka-europe-crm.veevavault.com/ui/#object/sent_email__v/VBLZ025E82GNPZQ", "SE-000275353")</f>
        <v>SE-000275353</v>
      </c>
      <c r="D3605" s="4" t="s">
        <v>11</v>
      </c>
      <c r="E3605" s="5">
        <v>0</v>
      </c>
      <c r="F3605" s="5">
        <v>0</v>
      </c>
      <c r="G3605" s="5">
        <v>0</v>
      </c>
      <c r="H3605" s="4" t="s">
        <v>11</v>
      </c>
      <c r="I3605" s="5">
        <v>0</v>
      </c>
      <c r="J3605" s="4">
        <v>45916.294791666667</v>
      </c>
    </row>
    <row r="3606" spans="1:10" x14ac:dyDescent="0.2">
      <c r="A3606" s="2" t="s">
        <v>10</v>
      </c>
      <c r="B3606" s="3" t="str">
        <f t="shared" si="66"/>
        <v>France - HCP Survey Email - June 2025</v>
      </c>
      <c r="C3606" s="3" t="str">
        <f>HYPERLINK("https://otsuka-europe-crm.veevavault.com/ui/#object/sent_email__v/VBLZ025E82GNPZR", "SE-000275354")</f>
        <v>SE-000275354</v>
      </c>
      <c r="D3606" s="4" t="s">
        <v>11</v>
      </c>
      <c r="E3606" s="5">
        <v>0</v>
      </c>
      <c r="F3606" s="5">
        <v>0</v>
      </c>
      <c r="G3606" s="5">
        <v>0</v>
      </c>
      <c r="H3606" s="4" t="s">
        <v>11</v>
      </c>
      <c r="I3606" s="5">
        <v>0</v>
      </c>
      <c r="J3606" s="4">
        <v>45916.294351851851</v>
      </c>
    </row>
    <row r="3607" spans="1:10" x14ac:dyDescent="0.2">
      <c r="A3607" s="2" t="s">
        <v>10</v>
      </c>
      <c r="B3607" s="3" t="str">
        <f t="shared" si="66"/>
        <v>France - HCP Survey Email - June 2025</v>
      </c>
      <c r="C3607" s="3" t="str">
        <f>HYPERLINK("https://otsuka-europe-crm.veevavault.com/ui/#object/sent_email__v/VBLZ025E82GNPZS", "SE-000275355")</f>
        <v>SE-000275355</v>
      </c>
      <c r="D3607" s="4" t="s">
        <v>11</v>
      </c>
      <c r="E3607" s="5">
        <v>0</v>
      </c>
      <c r="F3607" s="5">
        <v>0</v>
      </c>
      <c r="G3607" s="5">
        <v>0</v>
      </c>
      <c r="H3607" s="4" t="s">
        <v>11</v>
      </c>
      <c r="I3607" s="5">
        <v>0</v>
      </c>
      <c r="J3607" s="4">
        <v>45916.294606481482</v>
      </c>
    </row>
    <row r="3608" spans="1:10" x14ac:dyDescent="0.2">
      <c r="A3608" s="2" t="s">
        <v>10</v>
      </c>
      <c r="B3608" s="3" t="str">
        <f t="shared" si="66"/>
        <v>France - HCP Survey Email - June 2025</v>
      </c>
      <c r="C3608" s="3" t="str">
        <f>HYPERLINK("https://otsuka-europe-crm.veevavault.com/ui/#object/sent_email__v/VBLZ025E82GNPZT", "SE-000275356")</f>
        <v>SE-000275356</v>
      </c>
      <c r="D3608" s="4">
        <v>45937.343587962961</v>
      </c>
      <c r="E3608" s="5">
        <v>1</v>
      </c>
      <c r="F3608" s="5">
        <v>2</v>
      </c>
      <c r="G3608" s="5">
        <v>0</v>
      </c>
      <c r="H3608" s="4" t="s">
        <v>11</v>
      </c>
      <c r="I3608" s="5">
        <v>0</v>
      </c>
      <c r="J3608" s="4">
        <v>45916.29482638889</v>
      </c>
    </row>
    <row r="3609" spans="1:10" x14ac:dyDescent="0.2">
      <c r="A3609" s="2" t="s">
        <v>10</v>
      </c>
      <c r="B3609" s="3" t="str">
        <f t="shared" si="66"/>
        <v>France - HCP Survey Email - June 2025</v>
      </c>
      <c r="C3609" s="3" t="str">
        <f>HYPERLINK("https://otsuka-europe-crm.veevavault.com/ui/#object/sent_email__v/VBLZ025E82GNPZU", "SE-000275357")</f>
        <v>SE-000275357</v>
      </c>
      <c r="D3609" s="4" t="s">
        <v>11</v>
      </c>
      <c r="E3609" s="5">
        <v>0</v>
      </c>
      <c r="F3609" s="5">
        <v>0</v>
      </c>
      <c r="G3609" s="5">
        <v>0</v>
      </c>
      <c r="H3609" s="4" t="s">
        <v>11</v>
      </c>
      <c r="I3609" s="5">
        <v>0</v>
      </c>
      <c r="J3609" s="4">
        <v>45916.294999999998</v>
      </c>
    </row>
    <row r="3610" spans="1:10" x14ac:dyDescent="0.2">
      <c r="A3610" s="2" t="s">
        <v>10</v>
      </c>
      <c r="B3610" s="3" t="str">
        <f t="shared" si="66"/>
        <v>France - HCP Survey Email - June 2025</v>
      </c>
      <c r="C3610" s="3" t="str">
        <f>HYPERLINK("https://otsuka-europe-crm.veevavault.com/ui/#object/sent_email__v/VBLZ025E82GNPZV", "SE-000275358")</f>
        <v>SE-000275358</v>
      </c>
      <c r="D3610" s="4">
        <v>45922.706782407404</v>
      </c>
      <c r="E3610" s="5">
        <v>1</v>
      </c>
      <c r="F3610" s="5">
        <v>1</v>
      </c>
      <c r="G3610" s="5">
        <v>0</v>
      </c>
      <c r="H3610" s="4" t="s">
        <v>11</v>
      </c>
      <c r="I3610" s="5">
        <v>0</v>
      </c>
      <c r="J3610" s="4">
        <v>45916.294282407405</v>
      </c>
    </row>
    <row r="3611" spans="1:10" x14ac:dyDescent="0.2">
      <c r="A3611" s="2" t="s">
        <v>10</v>
      </c>
      <c r="B3611" s="3" t="str">
        <f t="shared" si="66"/>
        <v>France - HCP Survey Email - June 2025</v>
      </c>
      <c r="C3611" s="3" t="str">
        <f>HYPERLINK("https://otsuka-europe-crm.veevavault.com/ui/#object/sent_email__v/VBLZ025E82GNPZW", "SE-000275359")</f>
        <v>SE-000275359</v>
      </c>
      <c r="D3611" s="4" t="s">
        <v>11</v>
      </c>
      <c r="E3611" s="5">
        <v>0</v>
      </c>
      <c r="F3611" s="5">
        <v>0</v>
      </c>
      <c r="G3611" s="5">
        <v>0</v>
      </c>
      <c r="H3611" s="4" t="s">
        <v>11</v>
      </c>
      <c r="I3611" s="5">
        <v>0</v>
      </c>
      <c r="J3611" s="4">
        <v>45916.294594907406</v>
      </c>
    </row>
    <row r="3612" spans="1:10" x14ac:dyDescent="0.2">
      <c r="A3612" s="2" t="s">
        <v>10</v>
      </c>
      <c r="B3612" s="3" t="str">
        <f t="shared" si="66"/>
        <v>France - HCP Survey Email - June 2025</v>
      </c>
      <c r="C3612" s="3" t="str">
        <f>HYPERLINK("https://otsuka-europe-crm.veevavault.com/ui/#object/sent_email__v/VBLZ025E82GNPZX", "SE-000275360")</f>
        <v>SE-000275360</v>
      </c>
      <c r="D3612" s="4" t="s">
        <v>11</v>
      </c>
      <c r="E3612" s="5">
        <v>0</v>
      </c>
      <c r="F3612" s="5">
        <v>0</v>
      </c>
      <c r="G3612" s="5">
        <v>0</v>
      </c>
      <c r="H3612" s="4" t="s">
        <v>11</v>
      </c>
      <c r="I3612" s="5">
        <v>0</v>
      </c>
      <c r="J3612" s="4">
        <v>45916.294664351852</v>
      </c>
    </row>
    <row r="3613" spans="1:10" x14ac:dyDescent="0.2">
      <c r="A3613" s="2" t="s">
        <v>10</v>
      </c>
      <c r="B3613" s="3" t="str">
        <f t="shared" si="66"/>
        <v>France - HCP Survey Email - June 2025</v>
      </c>
      <c r="C3613" s="3" t="str">
        <f>HYPERLINK("https://otsuka-europe-crm.veevavault.com/ui/#object/sent_email__v/VBLZ025E82GNPZY", "SE-000275361")</f>
        <v>SE-000275361</v>
      </c>
      <c r="D3613" s="4" t="s">
        <v>11</v>
      </c>
      <c r="E3613" s="5">
        <v>0</v>
      </c>
      <c r="F3613" s="5">
        <v>0</v>
      </c>
      <c r="G3613" s="5">
        <v>0</v>
      </c>
      <c r="H3613" s="4" t="s">
        <v>11</v>
      </c>
      <c r="I3613" s="5">
        <v>0</v>
      </c>
      <c r="J3613" s="4">
        <v>45916.294988425929</v>
      </c>
    </row>
    <row r="3614" spans="1:10" x14ac:dyDescent="0.2">
      <c r="A3614" s="2" t="s">
        <v>10</v>
      </c>
      <c r="B3614" s="3" t="str">
        <f t="shared" si="66"/>
        <v>France - HCP Survey Email - June 2025</v>
      </c>
      <c r="C3614" s="3" t="str">
        <f>HYPERLINK("https://otsuka-europe-crm.veevavault.com/ui/#object/sent_email__v/VBLZ025E82GNPZZ", "SE-000275362")</f>
        <v>SE-000275362</v>
      </c>
      <c r="D3614" s="4">
        <v>45916.325185185182</v>
      </c>
      <c r="E3614" s="5">
        <v>1</v>
      </c>
      <c r="F3614" s="5">
        <v>1</v>
      </c>
      <c r="G3614" s="5">
        <v>0</v>
      </c>
      <c r="H3614" s="4" t="s">
        <v>11</v>
      </c>
      <c r="I3614" s="5">
        <v>0</v>
      </c>
      <c r="J3614" s="4">
        <v>45916.294247685182</v>
      </c>
    </row>
    <row r="3615" spans="1:10" x14ac:dyDescent="0.2">
      <c r="A3615" s="2" t="s">
        <v>10</v>
      </c>
      <c r="B3615" s="3" t="str">
        <f t="shared" si="66"/>
        <v>France - HCP Survey Email - June 2025</v>
      </c>
      <c r="C3615" s="3" t="str">
        <f>HYPERLINK("https://otsuka-europe-crm.veevavault.com/ui/#object/sent_email__v/VBLZ025E82GNQ00", "SE-000275363")</f>
        <v>SE-000275363</v>
      </c>
      <c r="D3615" s="4" t="s">
        <v>11</v>
      </c>
      <c r="E3615" s="5">
        <v>0</v>
      </c>
      <c r="F3615" s="5">
        <v>0</v>
      </c>
      <c r="G3615" s="5">
        <v>0</v>
      </c>
      <c r="H3615" s="4" t="s">
        <v>11</v>
      </c>
      <c r="I3615" s="5">
        <v>0</v>
      </c>
      <c r="J3615" s="4">
        <v>45916.294629629629</v>
      </c>
    </row>
    <row r="3616" spans="1:10" x14ac:dyDescent="0.2">
      <c r="A3616" s="2" t="s">
        <v>10</v>
      </c>
      <c r="B3616" s="3" t="str">
        <f t="shared" si="66"/>
        <v>France - HCP Survey Email - June 2025</v>
      </c>
      <c r="C3616" s="3" t="str">
        <f>HYPERLINK("https://otsuka-europe-crm.veevavault.com/ui/#object/sent_email__v/VBLZ025E82GNQ01", "SE-000275364")</f>
        <v>SE-000275364</v>
      </c>
      <c r="D3616" s="4">
        <v>45916.385069444441</v>
      </c>
      <c r="E3616" s="5">
        <v>1</v>
      </c>
      <c r="F3616" s="5">
        <v>1</v>
      </c>
      <c r="G3616" s="5">
        <v>0</v>
      </c>
      <c r="H3616" s="4" t="s">
        <v>11</v>
      </c>
      <c r="I3616" s="5">
        <v>0</v>
      </c>
      <c r="J3616" s="4">
        <v>45916.294895833336</v>
      </c>
    </row>
    <row r="3617" spans="1:10" x14ac:dyDescent="0.2">
      <c r="A3617" s="2" t="s">
        <v>10</v>
      </c>
      <c r="B3617" s="3" t="str">
        <f t="shared" si="66"/>
        <v>France - HCP Survey Email - June 2025</v>
      </c>
      <c r="C3617" s="3" t="str">
        <f>HYPERLINK("https://otsuka-europe-crm.veevavault.com/ui/#object/sent_email__v/VBLZ025E82GNQ02", "SE-000275365")</f>
        <v>SE-000275365</v>
      </c>
      <c r="D3617" s="4">
        <v>45916.418229166666</v>
      </c>
      <c r="E3617" s="5">
        <v>1</v>
      </c>
      <c r="F3617" s="5">
        <v>1</v>
      </c>
      <c r="G3617" s="5">
        <v>1</v>
      </c>
      <c r="H3617" s="4">
        <v>45916.41878472222</v>
      </c>
      <c r="I3617" s="5">
        <v>4</v>
      </c>
      <c r="J3617" s="4">
        <v>45916.29420138889</v>
      </c>
    </row>
    <row r="3618" spans="1:10" x14ac:dyDescent="0.2">
      <c r="A3618" s="2" t="s">
        <v>10</v>
      </c>
      <c r="B3618" s="3" t="str">
        <f t="shared" si="66"/>
        <v>France - HCP Survey Email - June 2025</v>
      </c>
      <c r="C3618" s="3" t="str">
        <f>HYPERLINK("https://otsuka-europe-crm.veevavault.com/ui/#object/sent_email__v/VBLZ025E82GNQ03", "SE-000275366")</f>
        <v>SE-000275366</v>
      </c>
      <c r="D3618" s="4" t="s">
        <v>11</v>
      </c>
      <c r="E3618" s="5">
        <v>0</v>
      </c>
      <c r="F3618" s="5">
        <v>0</v>
      </c>
      <c r="G3618" s="5">
        <v>0</v>
      </c>
      <c r="H3618" s="4" t="s">
        <v>11</v>
      </c>
      <c r="I3618" s="5">
        <v>0</v>
      </c>
      <c r="J3618" s="4">
        <v>45916.294374999998</v>
      </c>
    </row>
    <row r="3619" spans="1:10" x14ac:dyDescent="0.2">
      <c r="A3619" s="2" t="s">
        <v>10</v>
      </c>
      <c r="B3619" s="3" t="str">
        <f t="shared" si="66"/>
        <v>France - HCP Survey Email - June 2025</v>
      </c>
      <c r="C3619" s="3" t="str">
        <f>HYPERLINK("https://otsuka-europe-crm.veevavault.com/ui/#object/sent_email__v/VBLZ025E82GNQ04", "SE-000275367")</f>
        <v>SE-000275367</v>
      </c>
      <c r="D3619" s="4" t="s">
        <v>11</v>
      </c>
      <c r="E3619" s="5">
        <v>0</v>
      </c>
      <c r="F3619" s="5">
        <v>0</v>
      </c>
      <c r="G3619" s="5">
        <v>0</v>
      </c>
      <c r="H3619" s="4" t="s">
        <v>11</v>
      </c>
      <c r="I3619" s="5">
        <v>0</v>
      </c>
      <c r="J3619" s="4">
        <v>45916.294722222221</v>
      </c>
    </row>
    <row r="3620" spans="1:10" x14ac:dyDescent="0.2">
      <c r="A3620" s="2" t="s">
        <v>10</v>
      </c>
      <c r="B3620" s="3" t="str">
        <f t="shared" si="66"/>
        <v>France - HCP Survey Email - June 2025</v>
      </c>
      <c r="C3620" s="3" t="str">
        <f>HYPERLINK("https://otsuka-europe-crm.veevavault.com/ui/#object/sent_email__v/VBLZ025E82GNQ05", "SE-000275368")</f>
        <v>SE-000275368</v>
      </c>
      <c r="D3620" s="4" t="s">
        <v>11</v>
      </c>
      <c r="E3620" s="5">
        <v>0</v>
      </c>
      <c r="F3620" s="5">
        <v>0</v>
      </c>
      <c r="G3620" s="5">
        <v>0</v>
      </c>
      <c r="H3620" s="4" t="s">
        <v>11</v>
      </c>
      <c r="I3620" s="5">
        <v>0</v>
      </c>
      <c r="J3620" s="4">
        <v>45916.294953703706</v>
      </c>
    </row>
    <row r="3621" spans="1:10" x14ac:dyDescent="0.2">
      <c r="A3621" s="2" t="s">
        <v>10</v>
      </c>
      <c r="B3621" s="3" t="str">
        <f t="shared" si="66"/>
        <v>France - HCP Survey Email - June 2025</v>
      </c>
      <c r="C3621" s="3" t="str">
        <f>HYPERLINK("https://otsuka-europe-crm.veevavault.com/ui/#object/sent_email__v/VBLZ025E82GNQ06", "SE-000275369")</f>
        <v>SE-000275369</v>
      </c>
      <c r="D3621" s="4" t="s">
        <v>11</v>
      </c>
      <c r="E3621" s="5">
        <v>0</v>
      </c>
      <c r="F3621" s="5">
        <v>0</v>
      </c>
      <c r="G3621" s="5">
        <v>0</v>
      </c>
      <c r="H3621" s="4" t="s">
        <v>11</v>
      </c>
      <c r="I3621" s="5">
        <v>0</v>
      </c>
      <c r="J3621" s="4">
        <v>45916.294386574074</v>
      </c>
    </row>
    <row r="3622" spans="1:10" x14ac:dyDescent="0.2">
      <c r="A3622" s="2" t="s">
        <v>10</v>
      </c>
      <c r="B3622" s="3" t="str">
        <f t="shared" si="66"/>
        <v>France - HCP Survey Email - June 2025</v>
      </c>
      <c r="C3622" s="3" t="str">
        <f>HYPERLINK("https://otsuka-europe-crm.veevavault.com/ui/#object/sent_email__v/VBLZ025E82GNQ07", "SE-000275370")</f>
        <v>SE-000275370</v>
      </c>
      <c r="D3622" s="4">
        <v>45916.312199074076</v>
      </c>
      <c r="E3622" s="5">
        <v>1</v>
      </c>
      <c r="F3622" s="5">
        <v>1</v>
      </c>
      <c r="G3622" s="5">
        <v>1</v>
      </c>
      <c r="H3622" s="4">
        <v>45916.353333333333</v>
      </c>
      <c r="I3622" s="5">
        <v>1</v>
      </c>
      <c r="J3622" s="4">
        <v>45916.294537037036</v>
      </c>
    </row>
    <row r="3623" spans="1:10" x14ac:dyDescent="0.2">
      <c r="A3623" s="2" t="s">
        <v>10</v>
      </c>
      <c r="B3623" s="3" t="str">
        <f t="shared" si="66"/>
        <v>France - HCP Survey Email - June 2025</v>
      </c>
      <c r="C3623" s="3" t="str">
        <f>HYPERLINK("https://otsuka-europe-crm.veevavault.com/ui/#object/sent_email__v/VBLZ025E82GNQ08", "SE-000275371")</f>
        <v>SE-000275371</v>
      </c>
      <c r="D3623" s="4">
        <v>45916.313275462962</v>
      </c>
      <c r="E3623" s="5">
        <v>1</v>
      </c>
      <c r="F3623" s="5">
        <v>1</v>
      </c>
      <c r="G3623" s="5">
        <v>0</v>
      </c>
      <c r="H3623" s="4" t="s">
        <v>11</v>
      </c>
      <c r="I3623" s="5">
        <v>0</v>
      </c>
      <c r="J3623" s="4">
        <v>45916.294745370367</v>
      </c>
    </row>
    <row r="3624" spans="1:10" x14ac:dyDescent="0.2">
      <c r="A3624" s="2" t="s">
        <v>10</v>
      </c>
      <c r="B3624" s="3" t="str">
        <f t="shared" si="66"/>
        <v>France - HCP Survey Email - June 2025</v>
      </c>
      <c r="C3624" s="3" t="str">
        <f>HYPERLINK("https://otsuka-europe-crm.veevavault.com/ui/#object/sent_email__v/VBLZ025E82GNQ09", "SE-000275372")</f>
        <v>SE-000275372</v>
      </c>
      <c r="D3624" s="4" t="s">
        <v>11</v>
      </c>
      <c r="E3624" s="5">
        <v>0</v>
      </c>
      <c r="F3624" s="5">
        <v>0</v>
      </c>
      <c r="G3624" s="5">
        <v>0</v>
      </c>
      <c r="H3624" s="4" t="s">
        <v>11</v>
      </c>
      <c r="I3624" s="5">
        <v>0</v>
      </c>
      <c r="J3624" s="4">
        <v>45916.294953703706</v>
      </c>
    </row>
    <row r="3625" spans="1:10" x14ac:dyDescent="0.2">
      <c r="A3625" s="2" t="s">
        <v>10</v>
      </c>
      <c r="B3625" s="3" t="str">
        <f t="shared" si="66"/>
        <v>France - HCP Survey Email - June 2025</v>
      </c>
      <c r="C3625" s="3" t="str">
        <f>HYPERLINK("https://otsuka-europe-crm.veevavault.com/ui/#object/sent_email__v/VBLZ025E82GNQ0A", "SE-000275373")</f>
        <v>SE-000275373</v>
      </c>
      <c r="D3625" s="4" t="s">
        <v>11</v>
      </c>
      <c r="E3625" s="5">
        <v>0</v>
      </c>
      <c r="F3625" s="5">
        <v>0</v>
      </c>
      <c r="G3625" s="5">
        <v>0</v>
      </c>
      <c r="H3625" s="4" t="s">
        <v>11</v>
      </c>
      <c r="I3625" s="5">
        <v>0</v>
      </c>
      <c r="J3625" s="4">
        <v>45916.294444444444</v>
      </c>
    </row>
    <row r="3626" spans="1:10" x14ac:dyDescent="0.2">
      <c r="A3626" s="2" t="s">
        <v>10</v>
      </c>
      <c r="B3626" s="3" t="str">
        <f t="shared" si="66"/>
        <v>France - HCP Survey Email - June 2025</v>
      </c>
      <c r="C3626" s="3" t="str">
        <f>HYPERLINK("https://otsuka-europe-crm.veevavault.com/ui/#object/sent_email__v/VBLZ025E82GNQ0B", "SE-000275374")</f>
        <v>SE-000275374</v>
      </c>
      <c r="D3626" s="4" t="s">
        <v>11</v>
      </c>
      <c r="E3626" s="5">
        <v>0</v>
      </c>
      <c r="F3626" s="5">
        <v>0</v>
      </c>
      <c r="G3626" s="5">
        <v>0</v>
      </c>
      <c r="H3626" s="4" t="s">
        <v>11</v>
      </c>
      <c r="I3626" s="5">
        <v>0</v>
      </c>
      <c r="J3626" s="4">
        <v>45916.294618055559</v>
      </c>
    </row>
    <row r="3627" spans="1:10" x14ac:dyDescent="0.2">
      <c r="A3627" s="2" t="s">
        <v>10</v>
      </c>
      <c r="B3627" s="3" t="str">
        <f t="shared" si="66"/>
        <v>France - HCP Survey Email - June 2025</v>
      </c>
      <c r="C3627" s="3" t="str">
        <f>HYPERLINK("https://otsuka-europe-crm.veevavault.com/ui/#object/sent_email__v/VBLZ025E82GNQ0C", "SE-000275375")</f>
        <v>SE-000275375</v>
      </c>
      <c r="D3627" s="4">
        <v>45916.47929398148</v>
      </c>
      <c r="E3627" s="5">
        <v>1</v>
      </c>
      <c r="F3627" s="5">
        <v>1</v>
      </c>
      <c r="G3627" s="5">
        <v>1</v>
      </c>
      <c r="H3627" s="4">
        <v>45916.47929398148</v>
      </c>
      <c r="I3627" s="5">
        <v>1</v>
      </c>
      <c r="J3627" s="4">
        <v>45916.294907407406</v>
      </c>
    </row>
    <row r="3628" spans="1:10" x14ac:dyDescent="0.2">
      <c r="A3628" s="2" t="s">
        <v>10</v>
      </c>
      <c r="B3628" s="3" t="str">
        <f t="shared" si="66"/>
        <v>France - HCP Survey Email - June 2025</v>
      </c>
      <c r="C3628" s="3" t="str">
        <f>HYPERLINK("https://otsuka-europe-crm.veevavault.com/ui/#object/sent_email__v/VBLZ025E82GNQ0D", "SE-000275376")</f>
        <v>SE-000275376</v>
      </c>
      <c r="D3628" s="4">
        <v>45916.354398148149</v>
      </c>
      <c r="E3628" s="5">
        <v>1</v>
      </c>
      <c r="F3628" s="5">
        <v>2</v>
      </c>
      <c r="G3628" s="5">
        <v>0</v>
      </c>
      <c r="H3628" s="4" t="s">
        <v>11</v>
      </c>
      <c r="I3628" s="5">
        <v>0</v>
      </c>
      <c r="J3628" s="4">
        <v>45916.29420138889</v>
      </c>
    </row>
    <row r="3629" spans="1:10" x14ac:dyDescent="0.2">
      <c r="A3629" s="2" t="s">
        <v>10</v>
      </c>
      <c r="B3629" s="3" t="str">
        <f t="shared" si="66"/>
        <v>France - HCP Survey Email - June 2025</v>
      </c>
      <c r="C3629" s="3" t="str">
        <f>HYPERLINK("https://otsuka-europe-crm.veevavault.com/ui/#object/sent_email__v/VBLZ025E82GNQ0E", "SE-000275377")</f>
        <v>SE-000275377</v>
      </c>
      <c r="D3629" s="4" t="s">
        <v>11</v>
      </c>
      <c r="E3629" s="5">
        <v>0</v>
      </c>
      <c r="F3629" s="5">
        <v>0</v>
      </c>
      <c r="G3629" s="5">
        <v>0</v>
      </c>
      <c r="H3629" s="4" t="s">
        <v>11</v>
      </c>
      <c r="I3629" s="5">
        <v>0</v>
      </c>
      <c r="J3629" s="4">
        <v>45916.294328703705</v>
      </c>
    </row>
    <row r="3630" spans="1:10" x14ac:dyDescent="0.2">
      <c r="A3630" s="2" t="s">
        <v>10</v>
      </c>
      <c r="B3630" s="3" t="str">
        <f t="shared" si="66"/>
        <v>France - HCP Survey Email - June 2025</v>
      </c>
      <c r="C3630" s="3" t="str">
        <f>HYPERLINK("https://otsuka-europe-crm.veevavault.com/ui/#object/sent_email__v/VBLZ025E82GNQ0F", "SE-000275378")</f>
        <v>SE-000275378</v>
      </c>
      <c r="D3630" s="4" t="s">
        <v>11</v>
      </c>
      <c r="E3630" s="5">
        <v>0</v>
      </c>
      <c r="F3630" s="5">
        <v>0</v>
      </c>
      <c r="G3630" s="5">
        <v>0</v>
      </c>
      <c r="H3630" s="4" t="s">
        <v>11</v>
      </c>
      <c r="I3630" s="5">
        <v>0</v>
      </c>
      <c r="J3630" s="4">
        <v>45916.294641203705</v>
      </c>
    </row>
    <row r="3631" spans="1:10" x14ac:dyDescent="0.2">
      <c r="A3631" s="2" t="s">
        <v>10</v>
      </c>
      <c r="B3631" s="3" t="str">
        <f t="shared" si="66"/>
        <v>France - HCP Survey Email - June 2025</v>
      </c>
      <c r="C3631" s="3" t="str">
        <f>HYPERLINK("https://otsuka-europe-crm.veevavault.com/ui/#object/sent_email__v/VBLZ025E82GNQ0G", "SE-000275379")</f>
        <v>SE-000275379</v>
      </c>
      <c r="D3631" s="4" t="s">
        <v>11</v>
      </c>
      <c r="E3631" s="5">
        <v>0</v>
      </c>
      <c r="F3631" s="5">
        <v>0</v>
      </c>
      <c r="G3631" s="5">
        <v>0</v>
      </c>
      <c r="H3631" s="4" t="s">
        <v>11</v>
      </c>
      <c r="I3631" s="5">
        <v>0</v>
      </c>
      <c r="J3631" s="4">
        <v>45916.294976851852</v>
      </c>
    </row>
    <row r="3632" spans="1:10" x14ac:dyDescent="0.2">
      <c r="A3632" s="2" t="s">
        <v>10</v>
      </c>
      <c r="B3632" s="3" t="str">
        <f t="shared" si="66"/>
        <v>France - HCP Survey Email - June 2025</v>
      </c>
      <c r="C3632" s="3" t="str">
        <f>HYPERLINK("https://otsuka-europe-crm.veevavault.com/ui/#object/sent_email__v/VBLZ025E82GNQ0H", "SE-000275380")</f>
        <v>SE-000275380</v>
      </c>
      <c r="D3632" s="4">
        <v>45916.330509259256</v>
      </c>
      <c r="E3632" s="5">
        <v>1</v>
      </c>
      <c r="F3632" s="5">
        <v>1</v>
      </c>
      <c r="G3632" s="5">
        <v>0</v>
      </c>
      <c r="H3632" s="4" t="s">
        <v>11</v>
      </c>
      <c r="I3632" s="5">
        <v>0</v>
      </c>
      <c r="J3632" s="4">
        <v>45916.294305555559</v>
      </c>
    </row>
    <row r="3633" spans="1:10" x14ac:dyDescent="0.2">
      <c r="A3633" s="2" t="s">
        <v>10</v>
      </c>
      <c r="B3633" s="3" t="str">
        <f t="shared" si="66"/>
        <v>France - HCP Survey Email - June 2025</v>
      </c>
      <c r="C3633" s="3" t="str">
        <f>HYPERLINK("https://otsuka-europe-crm.veevavault.com/ui/#object/sent_email__v/VBLZ025E82GNQ0I", "SE-000275381")</f>
        <v>SE-000275381</v>
      </c>
      <c r="D3633" s="4" t="s">
        <v>11</v>
      </c>
      <c r="E3633" s="5">
        <v>0</v>
      </c>
      <c r="F3633" s="5">
        <v>0</v>
      </c>
      <c r="G3633" s="5">
        <v>0</v>
      </c>
      <c r="H3633" s="4" t="s">
        <v>11</v>
      </c>
      <c r="I3633" s="5">
        <v>0</v>
      </c>
      <c r="J3633" s="4">
        <v>45916.294548611113</v>
      </c>
    </row>
    <row r="3634" spans="1:10" x14ac:dyDescent="0.2">
      <c r="A3634" s="2" t="s">
        <v>10</v>
      </c>
      <c r="B3634" s="3" t="str">
        <f t="shared" si="66"/>
        <v>France - HCP Survey Email - June 2025</v>
      </c>
      <c r="C3634" s="3" t="str">
        <f>HYPERLINK("https://otsuka-europe-crm.veevavault.com/ui/#object/sent_email__v/VBLZ025E82GNQ0J", "SE-000275382")</f>
        <v>SE-000275382</v>
      </c>
      <c r="D3634" s="4" t="s">
        <v>11</v>
      </c>
      <c r="E3634" s="5">
        <v>0</v>
      </c>
      <c r="F3634" s="5">
        <v>0</v>
      </c>
      <c r="G3634" s="5">
        <v>0</v>
      </c>
      <c r="H3634" s="4" t="s">
        <v>11</v>
      </c>
      <c r="I3634" s="5">
        <v>0</v>
      </c>
      <c r="J3634" s="4">
        <v>45916.294664351852</v>
      </c>
    </row>
    <row r="3635" spans="1:10" x14ac:dyDescent="0.2">
      <c r="A3635" s="2" t="s">
        <v>10</v>
      </c>
      <c r="B3635" s="3" t="str">
        <f t="shared" si="66"/>
        <v>France - HCP Survey Email - June 2025</v>
      </c>
      <c r="C3635" s="3" t="str">
        <f>HYPERLINK("https://otsuka-europe-crm.veevavault.com/ui/#object/sent_email__v/VBLZ025E82GNQ0K", "SE-000275383")</f>
        <v>SE-000275383</v>
      </c>
      <c r="D3635" s="4" t="s">
        <v>11</v>
      </c>
      <c r="E3635" s="5">
        <v>0</v>
      </c>
      <c r="F3635" s="5">
        <v>0</v>
      </c>
      <c r="G3635" s="5">
        <v>0</v>
      </c>
      <c r="H3635" s="4" t="s">
        <v>11</v>
      </c>
      <c r="I3635" s="5">
        <v>0</v>
      </c>
      <c r="J3635" s="4">
        <v>45916.294560185182</v>
      </c>
    </row>
    <row r="3636" spans="1:10" x14ac:dyDescent="0.2">
      <c r="A3636" s="2" t="s">
        <v>10</v>
      </c>
      <c r="B3636" s="3" t="str">
        <f t="shared" si="66"/>
        <v>France - HCP Survey Email - June 2025</v>
      </c>
      <c r="C3636" s="3" t="str">
        <f>HYPERLINK("https://otsuka-europe-crm.veevavault.com/ui/#object/sent_email__v/VBLZ025E82GNQ0L", "SE-000275384")</f>
        <v>SE-000275384</v>
      </c>
      <c r="D3636" s="4">
        <v>45932.598576388889</v>
      </c>
      <c r="E3636" s="5">
        <v>1</v>
      </c>
      <c r="F3636" s="5">
        <v>4</v>
      </c>
      <c r="G3636" s="5">
        <v>0</v>
      </c>
      <c r="H3636" s="4" t="s">
        <v>11</v>
      </c>
      <c r="I3636" s="5">
        <v>0</v>
      </c>
      <c r="J3636" s="4">
        <v>45916.295023148145</v>
      </c>
    </row>
    <row r="3637" spans="1:10" x14ac:dyDescent="0.2">
      <c r="A3637" s="2" t="s">
        <v>10</v>
      </c>
      <c r="B3637" s="3" t="str">
        <f t="shared" si="66"/>
        <v>France - HCP Survey Email - June 2025</v>
      </c>
      <c r="C3637" s="3" t="str">
        <f>HYPERLINK("https://otsuka-europe-crm.veevavault.com/ui/#object/sent_email__v/VBLZ025E82GNQ0M", "SE-000275385")</f>
        <v>SE-000275385</v>
      </c>
      <c r="D3637" s="4" t="s">
        <v>11</v>
      </c>
      <c r="E3637" s="5">
        <v>0</v>
      </c>
      <c r="F3637" s="5">
        <v>0</v>
      </c>
      <c r="G3637" s="5">
        <v>0</v>
      </c>
      <c r="H3637" s="4" t="s">
        <v>11</v>
      </c>
      <c r="I3637" s="5">
        <v>0</v>
      </c>
      <c r="J3637" s="4">
        <v>45916.294305555559</v>
      </c>
    </row>
    <row r="3638" spans="1:10" x14ac:dyDescent="0.2">
      <c r="A3638" s="2" t="s">
        <v>10</v>
      </c>
      <c r="B3638" s="3" t="str">
        <f t="shared" si="66"/>
        <v>France - HCP Survey Email - June 2025</v>
      </c>
      <c r="C3638" s="3" t="str">
        <f>HYPERLINK("https://otsuka-europe-crm.veevavault.com/ui/#object/sent_email__v/VBLZ025E82GNQ0N", "SE-000275386")</f>
        <v>SE-000275386</v>
      </c>
      <c r="D3638" s="4">
        <v>45916.394502314812</v>
      </c>
      <c r="E3638" s="5">
        <v>1</v>
      </c>
      <c r="F3638" s="5">
        <v>2</v>
      </c>
      <c r="G3638" s="5">
        <v>0</v>
      </c>
      <c r="H3638" s="4" t="s">
        <v>11</v>
      </c>
      <c r="I3638" s="5">
        <v>0</v>
      </c>
      <c r="J3638" s="4">
        <v>45916.294594907406</v>
      </c>
    </row>
    <row r="3639" spans="1:10" x14ac:dyDescent="0.2">
      <c r="A3639" s="2" t="s">
        <v>10</v>
      </c>
      <c r="B3639" s="3" t="str">
        <f t="shared" si="66"/>
        <v>France - HCP Survey Email - June 2025</v>
      </c>
      <c r="C3639" s="3" t="str">
        <f>HYPERLINK("https://otsuka-europe-crm.veevavault.com/ui/#object/sent_email__v/VBLZ025E82GNQ0O", "SE-000275387")</f>
        <v>SE-000275387</v>
      </c>
      <c r="D3639" s="4" t="s">
        <v>11</v>
      </c>
      <c r="E3639" s="5">
        <v>0</v>
      </c>
      <c r="F3639" s="5">
        <v>0</v>
      </c>
      <c r="G3639" s="5">
        <v>0</v>
      </c>
      <c r="H3639" s="4" t="s">
        <v>11</v>
      </c>
      <c r="I3639" s="5">
        <v>0</v>
      </c>
      <c r="J3639" s="4">
        <v>45916.294675925928</v>
      </c>
    </row>
    <row r="3640" spans="1:10" x14ac:dyDescent="0.2">
      <c r="A3640" s="2" t="s">
        <v>10</v>
      </c>
      <c r="B3640" s="3" t="str">
        <f t="shared" si="66"/>
        <v>France - HCP Survey Email - June 2025</v>
      </c>
      <c r="C3640" s="3" t="str">
        <f>HYPERLINK("https://otsuka-europe-crm.veevavault.com/ui/#object/sent_email__v/VBLZ025E82GNQ0P", "SE-000275388")</f>
        <v>SE-000275388</v>
      </c>
      <c r="D3640" s="4">
        <v>45916.635659722226</v>
      </c>
      <c r="E3640" s="5">
        <v>1</v>
      </c>
      <c r="F3640" s="5">
        <v>1</v>
      </c>
      <c r="G3640" s="5">
        <v>1</v>
      </c>
      <c r="H3640" s="4">
        <v>45916.635659722226</v>
      </c>
      <c r="I3640" s="5">
        <v>1</v>
      </c>
      <c r="J3640" s="4">
        <v>45916.294942129629</v>
      </c>
    </row>
    <row r="3641" spans="1:10" x14ac:dyDescent="0.2">
      <c r="A3641" s="2" t="s">
        <v>10</v>
      </c>
      <c r="B3641" s="3" t="str">
        <f t="shared" si="66"/>
        <v>France - HCP Survey Email - June 2025</v>
      </c>
      <c r="C3641" s="3" t="str">
        <f>HYPERLINK("https://otsuka-europe-crm.veevavault.com/ui/#object/sent_email__v/VBLZ025E82GNQ0Q", "SE-000275389")</f>
        <v>SE-000275389</v>
      </c>
      <c r="D3641" s="4" t="s">
        <v>11</v>
      </c>
      <c r="E3641" s="5">
        <v>0</v>
      </c>
      <c r="F3641" s="5">
        <v>0</v>
      </c>
      <c r="G3641" s="5">
        <v>0</v>
      </c>
      <c r="H3641" s="4" t="s">
        <v>11</v>
      </c>
      <c r="I3641" s="5">
        <v>0</v>
      </c>
      <c r="J3641" s="4">
        <v>45916.294490740744</v>
      </c>
    </row>
    <row r="3642" spans="1:10" x14ac:dyDescent="0.2">
      <c r="A3642" s="2" t="s">
        <v>10</v>
      </c>
      <c r="B3642" s="3" t="str">
        <f t="shared" si="66"/>
        <v>France - HCP Survey Email - June 2025</v>
      </c>
      <c r="C3642" s="3" t="str">
        <f>HYPERLINK("https://otsuka-europe-crm.veevavault.com/ui/#object/sent_email__v/VBLZ025E82GNQ0R", "SE-000275390")</f>
        <v>SE-000275390</v>
      </c>
      <c r="D3642" s="4" t="s">
        <v>11</v>
      </c>
      <c r="E3642" s="5">
        <v>0</v>
      </c>
      <c r="F3642" s="5">
        <v>0</v>
      </c>
      <c r="G3642" s="5">
        <v>0</v>
      </c>
      <c r="H3642" s="4" t="s">
        <v>11</v>
      </c>
      <c r="I3642" s="5">
        <v>0</v>
      </c>
      <c r="J3642" s="4">
        <v>45916.294652777775</v>
      </c>
    </row>
    <row r="3643" spans="1:10" x14ac:dyDescent="0.2">
      <c r="A3643" s="2" t="s">
        <v>10</v>
      </c>
      <c r="B3643" s="3" t="str">
        <f t="shared" si="66"/>
        <v>France - HCP Survey Email - June 2025</v>
      </c>
      <c r="C3643" s="3" t="str">
        <f>HYPERLINK("https://otsuka-europe-crm.veevavault.com/ui/#object/sent_email__v/VBLZ025E82GNQ0S", "SE-000275391")</f>
        <v>SE-000275391</v>
      </c>
      <c r="D3643" s="4">
        <v>45916.294907407406</v>
      </c>
      <c r="E3643" s="5">
        <v>1</v>
      </c>
      <c r="F3643" s="5">
        <v>2</v>
      </c>
      <c r="G3643" s="5">
        <v>1</v>
      </c>
      <c r="H3643" s="4">
        <v>45916.294907407406</v>
      </c>
      <c r="I3643" s="5">
        <v>2</v>
      </c>
      <c r="J3643" s="4">
        <v>45916.29483796296</v>
      </c>
    </row>
    <row r="3644" spans="1:10" x14ac:dyDescent="0.2">
      <c r="A3644" s="2" t="s">
        <v>10</v>
      </c>
      <c r="B3644" s="3" t="str">
        <f t="shared" si="66"/>
        <v>France - HCP Survey Email - June 2025</v>
      </c>
      <c r="C3644" s="3" t="str">
        <f>HYPERLINK("https://otsuka-europe-crm.veevavault.com/ui/#object/sent_email__v/VBLZ025E82GNQ0T", "SE-000275392")</f>
        <v>SE-000275392</v>
      </c>
      <c r="D3644" s="4" t="s">
        <v>11</v>
      </c>
      <c r="E3644" s="5">
        <v>0</v>
      </c>
      <c r="F3644" s="5">
        <v>0</v>
      </c>
      <c r="G3644" s="5">
        <v>0</v>
      </c>
      <c r="H3644" s="4" t="s">
        <v>11</v>
      </c>
      <c r="I3644" s="5">
        <v>0</v>
      </c>
      <c r="J3644" s="4">
        <v>45916.294189814813</v>
      </c>
    </row>
    <row r="3645" spans="1:10" x14ac:dyDescent="0.2">
      <c r="A3645" s="2" t="s">
        <v>10</v>
      </c>
      <c r="B3645" s="3" t="str">
        <f t="shared" si="66"/>
        <v>France - HCP Survey Email - June 2025</v>
      </c>
      <c r="C3645" s="3" t="str">
        <f>HYPERLINK("https://otsuka-europe-crm.veevavault.com/ui/#object/sent_email__v/VBLZ025E82GNQ0U", "SE-000275393")</f>
        <v>SE-000275393</v>
      </c>
      <c r="D3645" s="4" t="s">
        <v>11</v>
      </c>
      <c r="E3645" s="5">
        <v>0</v>
      </c>
      <c r="F3645" s="5">
        <v>0</v>
      </c>
      <c r="G3645" s="5">
        <v>0</v>
      </c>
      <c r="H3645" s="4" t="s">
        <v>11</v>
      </c>
      <c r="I3645" s="5">
        <v>0</v>
      </c>
      <c r="J3645" s="4">
        <v>45916.294374999998</v>
      </c>
    </row>
    <row r="3646" spans="1:10" x14ac:dyDescent="0.2">
      <c r="A3646" s="2" t="s">
        <v>10</v>
      </c>
      <c r="B3646" s="3" t="str">
        <f t="shared" si="66"/>
        <v>France - HCP Survey Email - June 2025</v>
      </c>
      <c r="C3646" s="3" t="str">
        <f>HYPERLINK("https://otsuka-europe-crm.veevavault.com/ui/#object/sent_email__v/VBLZ025E82GNQ0V", "SE-000275394")</f>
        <v>SE-000275394</v>
      </c>
      <c r="D3646" s="4">
        <v>45926.618043981478</v>
      </c>
      <c r="E3646" s="5">
        <v>1</v>
      </c>
      <c r="F3646" s="5">
        <v>2</v>
      </c>
      <c r="G3646" s="5">
        <v>0</v>
      </c>
      <c r="H3646" s="4" t="s">
        <v>11</v>
      </c>
      <c r="I3646" s="5">
        <v>0</v>
      </c>
      <c r="J3646" s="4">
        <v>45916.294548611113</v>
      </c>
    </row>
    <row r="3647" spans="1:10" x14ac:dyDescent="0.2">
      <c r="A3647" s="2" t="s">
        <v>10</v>
      </c>
      <c r="B3647" s="3" t="str">
        <f t="shared" si="66"/>
        <v>France - HCP Survey Email - June 2025</v>
      </c>
      <c r="C3647" s="3" t="str">
        <f>HYPERLINK("https://otsuka-europe-crm.veevavault.com/ui/#object/sent_email__v/VBLZ025E82GNQ0W", "SE-000275395")</f>
        <v>SE-000275395</v>
      </c>
      <c r="D3647" s="4" t="s">
        <v>11</v>
      </c>
      <c r="E3647" s="5">
        <v>0</v>
      </c>
      <c r="F3647" s="5">
        <v>0</v>
      </c>
      <c r="G3647" s="5">
        <v>0</v>
      </c>
      <c r="H3647" s="4" t="s">
        <v>11</v>
      </c>
      <c r="I3647" s="5">
        <v>0</v>
      </c>
      <c r="J3647" s="4">
        <v>45916.294988425929</v>
      </c>
    </row>
    <row r="3648" spans="1:10" x14ac:dyDescent="0.2">
      <c r="A3648" s="2" t="s">
        <v>10</v>
      </c>
      <c r="B3648" s="3" t="str">
        <f t="shared" si="66"/>
        <v>France - HCP Survey Email - June 2025</v>
      </c>
      <c r="C3648" s="3" t="str">
        <f>HYPERLINK("https://otsuka-europe-crm.veevavault.com/ui/#object/sent_email__v/VBLZ025E82GNQ0X", "SE-000275396")</f>
        <v>SE-000275396</v>
      </c>
      <c r="D3648" s="4" t="s">
        <v>11</v>
      </c>
      <c r="E3648" s="5">
        <v>0</v>
      </c>
      <c r="F3648" s="5">
        <v>0</v>
      </c>
      <c r="G3648" s="5">
        <v>0</v>
      </c>
      <c r="H3648" s="4" t="s">
        <v>11</v>
      </c>
      <c r="I3648" s="5">
        <v>0</v>
      </c>
      <c r="J3648" s="4">
        <v>45916.294398148151</v>
      </c>
    </row>
    <row r="3649" spans="1:10" x14ac:dyDescent="0.2">
      <c r="A3649" s="2" t="s">
        <v>10</v>
      </c>
      <c r="B3649" s="3" t="str">
        <f t="shared" ref="B3649:B3709" si="67">HYPERLINK("https://otsuka-europe-crm.veevavault.com/ui/#object/approved_document__v/V5OZ025E82TMV97", "France - HCP Survey Email - June 2025")</f>
        <v>France - HCP Survey Email - June 2025</v>
      </c>
      <c r="C3649" s="3" t="str">
        <f>HYPERLINK("https://otsuka-europe-crm.veevavault.com/ui/#object/sent_email__v/VBLZ025E82GNQ0Y", "SE-000275397")</f>
        <v>SE-000275397</v>
      </c>
      <c r="D3649" s="4" t="s">
        <v>11</v>
      </c>
      <c r="E3649" s="5">
        <v>0</v>
      </c>
      <c r="F3649" s="5">
        <v>0</v>
      </c>
      <c r="G3649" s="5">
        <v>0</v>
      </c>
      <c r="H3649" s="4" t="s">
        <v>11</v>
      </c>
      <c r="I3649" s="5">
        <v>0</v>
      </c>
      <c r="J3649" s="4">
        <v>45916.294525462959</v>
      </c>
    </row>
    <row r="3650" spans="1:10" x14ac:dyDescent="0.2">
      <c r="A3650" s="2" t="s">
        <v>10</v>
      </c>
      <c r="B3650" s="3" t="str">
        <f t="shared" si="67"/>
        <v>France - HCP Survey Email - June 2025</v>
      </c>
      <c r="C3650" s="3" t="str">
        <f>HYPERLINK("https://otsuka-europe-crm.veevavault.com/ui/#object/sent_email__v/VBLZ025E82GNQ0Z", "SE-000275398")</f>
        <v>SE-000275398</v>
      </c>
      <c r="D3650" s="4" t="s">
        <v>11</v>
      </c>
      <c r="E3650" s="5">
        <v>0</v>
      </c>
      <c r="F3650" s="5">
        <v>0</v>
      </c>
      <c r="G3650" s="5">
        <v>0</v>
      </c>
      <c r="H3650" s="4" t="s">
        <v>11</v>
      </c>
      <c r="I3650" s="5">
        <v>0</v>
      </c>
      <c r="J3650" s="4">
        <v>45916.294664351852</v>
      </c>
    </row>
    <row r="3651" spans="1:10" x14ac:dyDescent="0.2">
      <c r="A3651" s="2" t="s">
        <v>10</v>
      </c>
      <c r="B3651" s="3" t="str">
        <f t="shared" si="67"/>
        <v>France - HCP Survey Email - June 2025</v>
      </c>
      <c r="C3651" s="3" t="str">
        <f>HYPERLINK("https://otsuka-europe-crm.veevavault.com/ui/#object/sent_email__v/VBLZ025E82GNQ10", "SE-000275399")</f>
        <v>SE-000275399</v>
      </c>
      <c r="D3651" s="4" t="s">
        <v>11</v>
      </c>
      <c r="E3651" s="5">
        <v>0</v>
      </c>
      <c r="F3651" s="5">
        <v>0</v>
      </c>
      <c r="G3651" s="5">
        <v>0</v>
      </c>
      <c r="H3651" s="4" t="s">
        <v>11</v>
      </c>
      <c r="I3651" s="5">
        <v>0</v>
      </c>
      <c r="J3651" s="4">
        <v>45916.29488425926</v>
      </c>
    </row>
    <row r="3652" spans="1:10" x14ac:dyDescent="0.2">
      <c r="A3652" s="2" t="s">
        <v>10</v>
      </c>
      <c r="B3652" s="3" t="str">
        <f t="shared" si="67"/>
        <v>France - HCP Survey Email - June 2025</v>
      </c>
      <c r="C3652" s="3" t="str">
        <f>HYPERLINK("https://otsuka-europe-crm.veevavault.com/ui/#object/sent_email__v/VBLZ025E82GNQ11", "SE-000275400")</f>
        <v>SE-000275400</v>
      </c>
      <c r="D3652" s="4" t="s">
        <v>11</v>
      </c>
      <c r="E3652" s="5">
        <v>0</v>
      </c>
      <c r="F3652" s="5">
        <v>0</v>
      </c>
      <c r="G3652" s="5">
        <v>0</v>
      </c>
      <c r="H3652" s="4" t="s">
        <v>11</v>
      </c>
      <c r="I3652" s="5">
        <v>0</v>
      </c>
      <c r="J3652" s="4">
        <v>45916.29446759259</v>
      </c>
    </row>
    <row r="3653" spans="1:10" x14ac:dyDescent="0.2">
      <c r="A3653" s="2" t="s">
        <v>10</v>
      </c>
      <c r="B3653" s="3" t="str">
        <f t="shared" si="67"/>
        <v>France - HCP Survey Email - June 2025</v>
      </c>
      <c r="C3653" s="3" t="str">
        <f>HYPERLINK("https://otsuka-europe-crm.veevavault.com/ui/#object/sent_email__v/VBLZ025E82GNQ12", "SE-000275401")</f>
        <v>SE-000275401</v>
      </c>
      <c r="D3653" s="4" t="s">
        <v>11</v>
      </c>
      <c r="E3653" s="5">
        <v>0</v>
      </c>
      <c r="F3653" s="5">
        <v>0</v>
      </c>
      <c r="G3653" s="5">
        <v>0</v>
      </c>
      <c r="H3653" s="4" t="s">
        <v>11</v>
      </c>
      <c r="I3653" s="5">
        <v>0</v>
      </c>
      <c r="J3653" s="4">
        <v>45916.294687499998</v>
      </c>
    </row>
    <row r="3654" spans="1:10" x14ac:dyDescent="0.2">
      <c r="A3654" s="2" t="s">
        <v>10</v>
      </c>
      <c r="B3654" s="3" t="str">
        <f t="shared" si="67"/>
        <v>France - HCP Survey Email - June 2025</v>
      </c>
      <c r="C3654" s="3" t="str">
        <f>HYPERLINK("https://otsuka-europe-crm.veevavault.com/ui/#object/sent_email__v/VBLZ025E82GNQ13", "SE-000275402")</f>
        <v>SE-000275402</v>
      </c>
      <c r="D3654" s="4" t="s">
        <v>11</v>
      </c>
      <c r="E3654" s="5">
        <v>0</v>
      </c>
      <c r="F3654" s="5">
        <v>0</v>
      </c>
      <c r="G3654" s="5">
        <v>0</v>
      </c>
      <c r="H3654" s="4" t="s">
        <v>11</v>
      </c>
      <c r="I3654" s="5">
        <v>0</v>
      </c>
      <c r="J3654" s="4">
        <v>45916.294895833336</v>
      </c>
    </row>
    <row r="3655" spans="1:10" x14ac:dyDescent="0.2">
      <c r="A3655" s="2" t="s">
        <v>10</v>
      </c>
      <c r="B3655" s="3" t="str">
        <f t="shared" si="67"/>
        <v>France - HCP Survey Email - June 2025</v>
      </c>
      <c r="C3655" s="3" t="str">
        <f>HYPERLINK("https://otsuka-europe-crm.veevavault.com/ui/#object/sent_email__v/VBLZ025E82GNQ14", "SE-000275403")</f>
        <v>SE-000275403</v>
      </c>
      <c r="D3655" s="4" t="s">
        <v>11</v>
      </c>
      <c r="E3655" s="5">
        <v>0</v>
      </c>
      <c r="F3655" s="5">
        <v>0</v>
      </c>
      <c r="G3655" s="5">
        <v>0</v>
      </c>
      <c r="H3655" s="4" t="s">
        <v>11</v>
      </c>
      <c r="I3655" s="5">
        <v>0</v>
      </c>
      <c r="J3655" s="4">
        <v>45916.294259259259</v>
      </c>
    </row>
    <row r="3656" spans="1:10" x14ac:dyDescent="0.2">
      <c r="A3656" s="2" t="s">
        <v>10</v>
      </c>
      <c r="B3656" s="3" t="str">
        <f t="shared" si="67"/>
        <v>France - HCP Survey Email - June 2025</v>
      </c>
      <c r="C3656" s="3" t="str">
        <f>HYPERLINK("https://otsuka-europe-crm.veevavault.com/ui/#object/sent_email__v/VBLZ025E82GNQ15", "SE-000275404")</f>
        <v>SE-000275404</v>
      </c>
      <c r="D3656" s="4">
        <v>45916.393761574072</v>
      </c>
      <c r="E3656" s="5">
        <v>1</v>
      </c>
      <c r="F3656" s="5">
        <v>1</v>
      </c>
      <c r="G3656" s="5">
        <v>1</v>
      </c>
      <c r="H3656" s="4">
        <v>45916.393761574072</v>
      </c>
      <c r="I3656" s="5">
        <v>1</v>
      </c>
      <c r="J3656" s="4">
        <v>45916.294386574074</v>
      </c>
    </row>
    <row r="3657" spans="1:10" x14ac:dyDescent="0.2">
      <c r="A3657" s="2" t="s">
        <v>10</v>
      </c>
      <c r="B3657" s="3" t="str">
        <f t="shared" si="67"/>
        <v>France - HCP Survey Email - June 2025</v>
      </c>
      <c r="C3657" s="3" t="str">
        <f>HYPERLINK("https://otsuka-europe-crm.veevavault.com/ui/#object/sent_email__v/VBLZ025E82GNQ16", "SE-000275405")</f>
        <v>SE-000275405</v>
      </c>
      <c r="D3657" s="4" t="s">
        <v>11</v>
      </c>
      <c r="E3657" s="5">
        <v>0</v>
      </c>
      <c r="F3657" s="5">
        <v>0</v>
      </c>
      <c r="G3657" s="5">
        <v>0</v>
      </c>
      <c r="H3657" s="4" t="s">
        <v>11</v>
      </c>
      <c r="I3657" s="5">
        <v>0</v>
      </c>
      <c r="J3657" s="4">
        <v>45916.29482638889</v>
      </c>
    </row>
    <row r="3658" spans="1:10" x14ac:dyDescent="0.2">
      <c r="A3658" s="2" t="s">
        <v>10</v>
      </c>
      <c r="B3658" s="3" t="str">
        <f t="shared" si="67"/>
        <v>France - HCP Survey Email - June 2025</v>
      </c>
      <c r="C3658" s="3" t="str">
        <f>HYPERLINK("https://otsuka-europe-crm.veevavault.com/ui/#object/sent_email__v/VBLZ025E82GNQ17", "SE-000275406")</f>
        <v>SE-000275406</v>
      </c>
      <c r="D3658" s="4">
        <v>45916.295590277776</v>
      </c>
      <c r="E3658" s="5">
        <v>1</v>
      </c>
      <c r="F3658" s="5">
        <v>2</v>
      </c>
      <c r="G3658" s="5">
        <v>1</v>
      </c>
      <c r="H3658" s="4">
        <v>45916.295590277776</v>
      </c>
      <c r="I3658" s="5">
        <v>2</v>
      </c>
      <c r="J3658" s="4">
        <v>45916.294976851852</v>
      </c>
    </row>
    <row r="3659" spans="1:10" x14ac:dyDescent="0.2">
      <c r="A3659" s="2" t="s">
        <v>10</v>
      </c>
      <c r="B3659" s="3" t="str">
        <f t="shared" si="67"/>
        <v>France - HCP Survey Email - June 2025</v>
      </c>
      <c r="C3659" s="3" t="str">
        <f>HYPERLINK("https://otsuka-europe-crm.veevavault.com/ui/#object/sent_email__v/VBLZ025E82GNQ18", "SE-000275407")</f>
        <v>SE-000275407</v>
      </c>
      <c r="D3659" s="4" t="s">
        <v>11</v>
      </c>
      <c r="E3659" s="5">
        <v>0</v>
      </c>
      <c r="F3659" s="5">
        <v>0</v>
      </c>
      <c r="G3659" s="5">
        <v>0</v>
      </c>
      <c r="H3659" s="4" t="s">
        <v>11</v>
      </c>
      <c r="I3659" s="5">
        <v>0</v>
      </c>
      <c r="J3659" s="4">
        <v>45916.294340277775</v>
      </c>
    </row>
    <row r="3660" spans="1:10" x14ac:dyDescent="0.2">
      <c r="A3660" s="2" t="s">
        <v>10</v>
      </c>
      <c r="B3660" s="3" t="str">
        <f t="shared" si="67"/>
        <v>France - HCP Survey Email - June 2025</v>
      </c>
      <c r="C3660" s="3" t="str">
        <f>HYPERLINK("https://otsuka-europe-crm.veevavault.com/ui/#object/sent_email__v/VBLZ025E82GNQ19", "SE-000275408")</f>
        <v>SE-000275408</v>
      </c>
      <c r="D3660" s="4" t="s">
        <v>11</v>
      </c>
      <c r="E3660" s="5">
        <v>0</v>
      </c>
      <c r="F3660" s="5">
        <v>0</v>
      </c>
      <c r="G3660" s="5">
        <v>0</v>
      </c>
      <c r="H3660" s="4" t="s">
        <v>11</v>
      </c>
      <c r="I3660" s="5">
        <v>0</v>
      </c>
      <c r="J3660" s="4">
        <v>45916.294571759259</v>
      </c>
    </row>
    <row r="3661" spans="1:10" x14ac:dyDescent="0.2">
      <c r="A3661" s="2" t="s">
        <v>10</v>
      </c>
      <c r="B3661" s="3" t="str">
        <f t="shared" si="67"/>
        <v>France - HCP Survey Email - June 2025</v>
      </c>
      <c r="C3661" s="3" t="str">
        <f>HYPERLINK("https://otsuka-europe-crm.veevavault.com/ui/#object/sent_email__v/VBLZ025E82GNQ1B", "SE-000275410")</f>
        <v>SE-000275410</v>
      </c>
      <c r="D3661" s="4">
        <v>45916.295208333337</v>
      </c>
      <c r="E3661" s="5">
        <v>1</v>
      </c>
      <c r="F3661" s="5">
        <v>1</v>
      </c>
      <c r="G3661" s="5">
        <v>0</v>
      </c>
      <c r="H3661" s="4" t="s">
        <v>11</v>
      </c>
      <c r="I3661" s="5">
        <v>0</v>
      </c>
      <c r="J3661" s="4">
        <v>45916.295034722221</v>
      </c>
    </row>
    <row r="3662" spans="1:10" x14ac:dyDescent="0.2">
      <c r="A3662" s="2" t="s">
        <v>10</v>
      </c>
      <c r="B3662" s="3" t="str">
        <f t="shared" si="67"/>
        <v>France - HCP Survey Email - June 2025</v>
      </c>
      <c r="C3662" s="3" t="str">
        <f>HYPERLINK("https://otsuka-europe-crm.veevavault.com/ui/#object/sent_email__v/VBLZ025E82GNQ1C", "SE-000275411")</f>
        <v>SE-000275411</v>
      </c>
      <c r="D3662" s="4" t="s">
        <v>11</v>
      </c>
      <c r="E3662" s="5">
        <v>0</v>
      </c>
      <c r="F3662" s="5">
        <v>0</v>
      </c>
      <c r="G3662" s="5">
        <v>0</v>
      </c>
      <c r="H3662" s="4" t="s">
        <v>11</v>
      </c>
      <c r="I3662" s="5">
        <v>0</v>
      </c>
      <c r="J3662" s="4">
        <v>45916.294305555559</v>
      </c>
    </row>
    <row r="3663" spans="1:10" x14ac:dyDescent="0.2">
      <c r="A3663" s="2" t="s">
        <v>10</v>
      </c>
      <c r="B3663" s="3" t="str">
        <f t="shared" si="67"/>
        <v>France - HCP Survey Email - June 2025</v>
      </c>
      <c r="C3663" s="3" t="str">
        <f>HYPERLINK("https://otsuka-europe-crm.veevavault.com/ui/#object/sent_email__v/VBLZ025E82GNQ1D", "SE-000275412")</f>
        <v>SE-000275412</v>
      </c>
      <c r="D3663" s="4">
        <v>45919.25172453704</v>
      </c>
      <c r="E3663" s="5">
        <v>1</v>
      </c>
      <c r="F3663" s="5">
        <v>1</v>
      </c>
      <c r="G3663" s="5">
        <v>0</v>
      </c>
      <c r="H3663" s="4" t="s">
        <v>11</v>
      </c>
      <c r="I3663" s="5">
        <v>0</v>
      </c>
      <c r="J3663" s="4">
        <v>45916.294618055559</v>
      </c>
    </row>
    <row r="3664" spans="1:10" x14ac:dyDescent="0.2">
      <c r="A3664" s="2" t="s">
        <v>10</v>
      </c>
      <c r="B3664" s="3" t="str">
        <f t="shared" si="67"/>
        <v>France - HCP Survey Email - June 2025</v>
      </c>
      <c r="C3664" s="3" t="str">
        <f>HYPERLINK("https://otsuka-europe-crm.veevavault.com/ui/#object/sent_email__v/VBLZ025E82GNQ1E", "SE-000275413")</f>
        <v>SE-000275413</v>
      </c>
      <c r="D3664" s="4" t="s">
        <v>11</v>
      </c>
      <c r="E3664" s="5">
        <v>0</v>
      </c>
      <c r="F3664" s="5">
        <v>0</v>
      </c>
      <c r="G3664" s="5">
        <v>0</v>
      </c>
      <c r="H3664" s="4" t="s">
        <v>11</v>
      </c>
      <c r="I3664" s="5">
        <v>0</v>
      </c>
      <c r="J3664" s="4">
        <v>45916.294965277775</v>
      </c>
    </row>
    <row r="3665" spans="1:10" x14ac:dyDescent="0.2">
      <c r="A3665" s="2" t="s">
        <v>10</v>
      </c>
      <c r="B3665" s="3" t="str">
        <f t="shared" si="67"/>
        <v>France - HCP Survey Email - June 2025</v>
      </c>
      <c r="C3665" s="3" t="str">
        <f>HYPERLINK("https://otsuka-europe-crm.veevavault.com/ui/#object/sent_email__v/VBLZ025E82GNQ1F", "SE-000275414")</f>
        <v>SE-000275414</v>
      </c>
      <c r="D3665" s="4">
        <v>45916.486759259256</v>
      </c>
      <c r="E3665" s="5">
        <v>1</v>
      </c>
      <c r="F3665" s="5">
        <v>1</v>
      </c>
      <c r="G3665" s="5">
        <v>1</v>
      </c>
      <c r="H3665" s="4">
        <v>45917.435254629629</v>
      </c>
      <c r="I3665" s="5">
        <v>1</v>
      </c>
      <c r="J3665" s="4">
        <v>45916.294259259259</v>
      </c>
    </row>
    <row r="3666" spans="1:10" x14ac:dyDescent="0.2">
      <c r="A3666" s="2" t="s">
        <v>10</v>
      </c>
      <c r="B3666" s="3" t="str">
        <f t="shared" si="67"/>
        <v>France - HCP Survey Email - June 2025</v>
      </c>
      <c r="C3666" s="3" t="str">
        <f>HYPERLINK("https://otsuka-europe-crm.veevavault.com/ui/#object/sent_email__v/VBLZ025E82GNQ1G", "SE-000275415")</f>
        <v>SE-000275415</v>
      </c>
      <c r="D3666" s="4" t="s">
        <v>11</v>
      </c>
      <c r="E3666" s="5">
        <v>0</v>
      </c>
      <c r="F3666" s="5">
        <v>0</v>
      </c>
      <c r="G3666" s="5">
        <v>0</v>
      </c>
      <c r="H3666" s="4" t="s">
        <v>11</v>
      </c>
      <c r="I3666" s="5">
        <v>0</v>
      </c>
      <c r="J3666" s="4">
        <v>45916.294328703705</v>
      </c>
    </row>
    <row r="3667" spans="1:10" x14ac:dyDescent="0.2">
      <c r="A3667" s="2" t="s">
        <v>10</v>
      </c>
      <c r="B3667" s="3" t="str">
        <f t="shared" si="67"/>
        <v>France - HCP Survey Email - June 2025</v>
      </c>
      <c r="C3667" s="3" t="str">
        <f>HYPERLINK("https://otsuka-europe-crm.veevavault.com/ui/#object/sent_email__v/VBLZ025E82GNQ1H", "SE-000275416")</f>
        <v>SE-000275416</v>
      </c>
      <c r="D3667" s="4" t="s">
        <v>11</v>
      </c>
      <c r="E3667" s="5">
        <v>0</v>
      </c>
      <c r="F3667" s="5">
        <v>0</v>
      </c>
      <c r="G3667" s="5">
        <v>0</v>
      </c>
      <c r="H3667" s="4" t="s">
        <v>11</v>
      </c>
      <c r="I3667" s="5">
        <v>0</v>
      </c>
      <c r="J3667" s="4">
        <v>45916.294652777775</v>
      </c>
    </row>
    <row r="3668" spans="1:10" x14ac:dyDescent="0.2">
      <c r="A3668" s="2" t="s">
        <v>10</v>
      </c>
      <c r="B3668" s="3" t="str">
        <f t="shared" si="67"/>
        <v>France - HCP Survey Email - June 2025</v>
      </c>
      <c r="C3668" s="3" t="str">
        <f>HYPERLINK("https://otsuka-europe-crm.veevavault.com/ui/#object/sent_email__v/VBLZ025E82GNQ1I", "SE-000275417")</f>
        <v>SE-000275417</v>
      </c>
      <c r="D3668" s="4">
        <v>45916.317719907405</v>
      </c>
      <c r="E3668" s="5">
        <v>1</v>
      </c>
      <c r="F3668" s="5">
        <v>1</v>
      </c>
      <c r="G3668" s="5">
        <v>0</v>
      </c>
      <c r="H3668" s="4" t="s">
        <v>11</v>
      </c>
      <c r="I3668" s="5">
        <v>0</v>
      </c>
      <c r="J3668" s="4">
        <v>45916.294942129629</v>
      </c>
    </row>
    <row r="3669" spans="1:10" x14ac:dyDescent="0.2">
      <c r="A3669" s="2" t="s">
        <v>10</v>
      </c>
      <c r="B3669" s="3" t="str">
        <f t="shared" si="67"/>
        <v>France - HCP Survey Email - June 2025</v>
      </c>
      <c r="C3669" s="3" t="str">
        <f>HYPERLINK("https://otsuka-europe-crm.veevavault.com/ui/#object/sent_email__v/VBLZ025E82GNQ1J", "SE-000275418")</f>
        <v>SE-000275418</v>
      </c>
      <c r="D3669" s="4">
        <v>45917.665023148147</v>
      </c>
      <c r="E3669" s="5">
        <v>1</v>
      </c>
      <c r="F3669" s="5">
        <v>1</v>
      </c>
      <c r="G3669" s="5">
        <v>0</v>
      </c>
      <c r="H3669" s="4" t="s">
        <v>11</v>
      </c>
      <c r="I3669" s="5">
        <v>0</v>
      </c>
      <c r="J3669" s="4">
        <v>45916.294374999998</v>
      </c>
    </row>
    <row r="3670" spans="1:10" x14ac:dyDescent="0.2">
      <c r="A3670" s="2" t="s">
        <v>10</v>
      </c>
      <c r="B3670" s="3" t="str">
        <f t="shared" si="67"/>
        <v>France - HCP Survey Email - June 2025</v>
      </c>
      <c r="C3670" s="3" t="str">
        <f>HYPERLINK("https://otsuka-europe-crm.veevavault.com/ui/#object/sent_email__v/VBLZ025E82GNQ1K", "SE-000275419")</f>
        <v>SE-000275419</v>
      </c>
      <c r="D3670" s="4" t="s">
        <v>11</v>
      </c>
      <c r="E3670" s="5">
        <v>0</v>
      </c>
      <c r="F3670" s="5">
        <v>0</v>
      </c>
      <c r="G3670" s="5">
        <v>0</v>
      </c>
      <c r="H3670" s="4" t="s">
        <v>11</v>
      </c>
      <c r="I3670" s="5">
        <v>0</v>
      </c>
      <c r="J3670" s="4">
        <v>45916.294444444444</v>
      </c>
    </row>
    <row r="3671" spans="1:10" x14ac:dyDescent="0.2">
      <c r="A3671" s="2" t="s">
        <v>10</v>
      </c>
      <c r="B3671" s="3" t="str">
        <f t="shared" si="67"/>
        <v>France - HCP Survey Email - June 2025</v>
      </c>
      <c r="C3671" s="3" t="str">
        <f>HYPERLINK("https://otsuka-europe-crm.veevavault.com/ui/#object/sent_email__v/VBLZ025E82GNQ1L", "SE-000275420")</f>
        <v>SE-000275420</v>
      </c>
      <c r="D3671" s="4">
        <v>45916.454155092593</v>
      </c>
      <c r="E3671" s="5">
        <v>1</v>
      </c>
      <c r="F3671" s="5">
        <v>1</v>
      </c>
      <c r="G3671" s="5">
        <v>0</v>
      </c>
      <c r="H3671" s="4" t="s">
        <v>11</v>
      </c>
      <c r="I3671" s="5">
        <v>0</v>
      </c>
      <c r="J3671" s="4">
        <v>45916.294571759259</v>
      </c>
    </row>
    <row r="3672" spans="1:10" x14ac:dyDescent="0.2">
      <c r="A3672" s="2" t="s">
        <v>10</v>
      </c>
      <c r="B3672" s="3" t="str">
        <f t="shared" si="67"/>
        <v>France - HCP Survey Email - June 2025</v>
      </c>
      <c r="C3672" s="3" t="str">
        <f>HYPERLINK("https://otsuka-europe-crm.veevavault.com/ui/#object/sent_email__v/VBLZ025E82GNQ1M", "SE-000275421")</f>
        <v>SE-000275421</v>
      </c>
      <c r="D3672" s="4" t="s">
        <v>11</v>
      </c>
      <c r="E3672" s="5">
        <v>0</v>
      </c>
      <c r="F3672" s="5">
        <v>0</v>
      </c>
      <c r="G3672" s="5">
        <v>0</v>
      </c>
      <c r="H3672" s="4" t="s">
        <v>11</v>
      </c>
      <c r="I3672" s="5">
        <v>0</v>
      </c>
      <c r="J3672" s="4">
        <v>45916.294953703706</v>
      </c>
    </row>
    <row r="3673" spans="1:10" x14ac:dyDescent="0.2">
      <c r="A3673" s="2" t="s">
        <v>10</v>
      </c>
      <c r="B3673" s="3" t="str">
        <f t="shared" si="67"/>
        <v>France - HCP Survey Email - June 2025</v>
      </c>
      <c r="C3673" s="3" t="str">
        <f>HYPERLINK("https://otsuka-europe-crm.veevavault.com/ui/#object/sent_email__v/VBLZ025E82GNQ1N", "SE-000275422")</f>
        <v>SE-000275422</v>
      </c>
      <c r="D3673" s="4" t="s">
        <v>11</v>
      </c>
      <c r="E3673" s="5">
        <v>0</v>
      </c>
      <c r="F3673" s="5">
        <v>0</v>
      </c>
      <c r="G3673" s="5">
        <v>0</v>
      </c>
      <c r="H3673" s="4" t="s">
        <v>11</v>
      </c>
      <c r="I3673" s="5">
        <v>0</v>
      </c>
      <c r="J3673" s="4">
        <v>45916.294351851851</v>
      </c>
    </row>
    <row r="3674" spans="1:10" x14ac:dyDescent="0.2">
      <c r="A3674" s="2" t="s">
        <v>10</v>
      </c>
      <c r="B3674" s="3" t="str">
        <f t="shared" si="67"/>
        <v>France - HCP Survey Email - June 2025</v>
      </c>
      <c r="C3674" s="3" t="str">
        <f>HYPERLINK("https://otsuka-europe-crm.veevavault.com/ui/#object/sent_email__v/VBLZ025E82GNQ1O", "SE-000275423")</f>
        <v>SE-000275423</v>
      </c>
      <c r="D3674" s="4" t="s">
        <v>11</v>
      </c>
      <c r="E3674" s="5">
        <v>0</v>
      </c>
      <c r="F3674" s="5">
        <v>0</v>
      </c>
      <c r="G3674" s="5">
        <v>0</v>
      </c>
      <c r="H3674" s="4" t="s">
        <v>11</v>
      </c>
      <c r="I3674" s="5">
        <v>0</v>
      </c>
      <c r="J3674" s="4">
        <v>45916.29446759259</v>
      </c>
    </row>
    <row r="3675" spans="1:10" x14ac:dyDescent="0.2">
      <c r="A3675" s="2" t="s">
        <v>10</v>
      </c>
      <c r="B3675" s="3" t="str">
        <f t="shared" si="67"/>
        <v>France - HCP Survey Email - June 2025</v>
      </c>
      <c r="C3675" s="3" t="str">
        <f>HYPERLINK("https://otsuka-europe-crm.veevavault.com/ui/#object/sent_email__v/VBLZ025E82GNQ1P", "SE-000275424")</f>
        <v>SE-000275424</v>
      </c>
      <c r="D3675" s="4" t="s">
        <v>11</v>
      </c>
      <c r="E3675" s="5">
        <v>0</v>
      </c>
      <c r="F3675" s="5">
        <v>0</v>
      </c>
      <c r="G3675" s="5">
        <v>0</v>
      </c>
      <c r="H3675" s="4" t="s">
        <v>11</v>
      </c>
      <c r="I3675" s="5">
        <v>0</v>
      </c>
      <c r="J3675" s="4">
        <v>45916.294756944444</v>
      </c>
    </row>
    <row r="3676" spans="1:10" x14ac:dyDescent="0.2">
      <c r="A3676" s="2" t="s">
        <v>10</v>
      </c>
      <c r="B3676" s="3" t="str">
        <f t="shared" si="67"/>
        <v>France - HCP Survey Email - June 2025</v>
      </c>
      <c r="C3676" s="3" t="str">
        <f>HYPERLINK("https://otsuka-europe-crm.veevavault.com/ui/#object/sent_email__v/VBLZ025E82GNQ1Q", "SE-000275425")</f>
        <v>SE-000275425</v>
      </c>
      <c r="D3676" s="4">
        <v>45932.430046296293</v>
      </c>
      <c r="E3676" s="5">
        <v>1</v>
      </c>
      <c r="F3676" s="5">
        <v>1</v>
      </c>
      <c r="G3676" s="5">
        <v>0</v>
      </c>
      <c r="H3676" s="4" t="s">
        <v>11</v>
      </c>
      <c r="I3676" s="5">
        <v>0</v>
      </c>
      <c r="J3676" s="4">
        <v>45916.295034722221</v>
      </c>
    </row>
    <row r="3677" spans="1:10" x14ac:dyDescent="0.2">
      <c r="A3677" s="2" t="s">
        <v>10</v>
      </c>
      <c r="B3677" s="3" t="str">
        <f t="shared" si="67"/>
        <v>France - HCP Survey Email - June 2025</v>
      </c>
      <c r="C3677" s="3" t="str">
        <f>HYPERLINK("https://otsuka-europe-crm.veevavault.com/ui/#object/sent_email__v/VBLZ025E82GNQ1R", "SE-000275426")</f>
        <v>SE-000275426</v>
      </c>
      <c r="D3677" s="4" t="s">
        <v>11</v>
      </c>
      <c r="E3677" s="5">
        <v>0</v>
      </c>
      <c r="F3677" s="5">
        <v>0</v>
      </c>
      <c r="G3677" s="5">
        <v>0</v>
      </c>
      <c r="H3677" s="4" t="s">
        <v>11</v>
      </c>
      <c r="I3677" s="5">
        <v>0</v>
      </c>
      <c r="J3677" s="4">
        <v>45916.294444444444</v>
      </c>
    </row>
    <row r="3678" spans="1:10" x14ac:dyDescent="0.2">
      <c r="A3678" s="2" t="s">
        <v>10</v>
      </c>
      <c r="B3678" s="3" t="str">
        <f t="shared" si="67"/>
        <v>France - HCP Survey Email - June 2025</v>
      </c>
      <c r="C3678" s="3" t="str">
        <f>HYPERLINK("https://otsuka-europe-crm.veevavault.com/ui/#object/sent_email__v/VBLZ025E82GNQ1S", "SE-000275427")</f>
        <v>SE-000275427</v>
      </c>
      <c r="D3678" s="4" t="s">
        <v>11</v>
      </c>
      <c r="E3678" s="5">
        <v>0</v>
      </c>
      <c r="F3678" s="5">
        <v>0</v>
      </c>
      <c r="G3678" s="5">
        <v>0</v>
      </c>
      <c r="H3678" s="4" t="s">
        <v>11</v>
      </c>
      <c r="I3678" s="5">
        <v>0</v>
      </c>
      <c r="J3678" s="4">
        <v>45916.294641203705</v>
      </c>
    </row>
    <row r="3679" spans="1:10" x14ac:dyDescent="0.2">
      <c r="A3679" s="2" t="s">
        <v>10</v>
      </c>
      <c r="B3679" s="3" t="str">
        <f t="shared" si="67"/>
        <v>France - HCP Survey Email - June 2025</v>
      </c>
      <c r="C3679" s="3" t="str">
        <f>HYPERLINK("https://otsuka-europe-crm.veevavault.com/ui/#object/sent_email__v/VBLZ025E82GNQ1T", "SE-000275428")</f>
        <v>SE-000275428</v>
      </c>
      <c r="D3679" s="4" t="s">
        <v>11</v>
      </c>
      <c r="E3679" s="5">
        <v>0</v>
      </c>
      <c r="F3679" s="5">
        <v>0</v>
      </c>
      <c r="G3679" s="5">
        <v>0</v>
      </c>
      <c r="H3679" s="4" t="s">
        <v>11</v>
      </c>
      <c r="I3679" s="5">
        <v>0</v>
      </c>
      <c r="J3679" s="4">
        <v>45916.294976851852</v>
      </c>
    </row>
    <row r="3680" spans="1:10" x14ac:dyDescent="0.2">
      <c r="A3680" s="2" t="s">
        <v>10</v>
      </c>
      <c r="B3680" s="3" t="str">
        <f t="shared" si="67"/>
        <v>France - HCP Survey Email - June 2025</v>
      </c>
      <c r="C3680" s="3" t="str">
        <f>HYPERLINK("https://otsuka-europe-crm.veevavault.com/ui/#object/sent_email__v/VBLZ025E82GNQ1U", "SE-000275429")</f>
        <v>SE-000275429</v>
      </c>
      <c r="D3680" s="4" t="s">
        <v>11</v>
      </c>
      <c r="E3680" s="5">
        <v>0</v>
      </c>
      <c r="F3680" s="5">
        <v>0</v>
      </c>
      <c r="G3680" s="5">
        <v>0</v>
      </c>
      <c r="H3680" s="4" t="s">
        <v>11</v>
      </c>
      <c r="I3680" s="5">
        <v>0</v>
      </c>
      <c r="J3680" s="4">
        <v>45916.29420138889</v>
      </c>
    </row>
    <row r="3681" spans="1:10" x14ac:dyDescent="0.2">
      <c r="A3681" s="2" t="s">
        <v>10</v>
      </c>
      <c r="B3681" s="3" t="str">
        <f t="shared" si="67"/>
        <v>France - HCP Survey Email - June 2025</v>
      </c>
      <c r="C3681" s="3" t="str">
        <f>HYPERLINK("https://otsuka-europe-crm.veevavault.com/ui/#object/sent_email__v/VBLZ025E82GNQ1V", "SE-000275430")</f>
        <v>SE-000275430</v>
      </c>
      <c r="D3681" s="4" t="s">
        <v>11</v>
      </c>
      <c r="E3681" s="5">
        <v>0</v>
      </c>
      <c r="F3681" s="5">
        <v>0</v>
      </c>
      <c r="G3681" s="5">
        <v>0</v>
      </c>
      <c r="H3681" s="4" t="s">
        <v>11</v>
      </c>
      <c r="I3681" s="5">
        <v>0</v>
      </c>
      <c r="J3681" s="4">
        <v>45916.294421296298</v>
      </c>
    </row>
    <row r="3682" spans="1:10" x14ac:dyDescent="0.2">
      <c r="A3682" s="2" t="s">
        <v>10</v>
      </c>
      <c r="B3682" s="3" t="str">
        <f t="shared" si="67"/>
        <v>France - HCP Survey Email - June 2025</v>
      </c>
      <c r="C3682" s="3" t="str">
        <f>HYPERLINK("https://otsuka-europe-crm.veevavault.com/ui/#object/sent_email__v/VBLZ025E82GNQ1W", "SE-000275431")</f>
        <v>SE-000275431</v>
      </c>
      <c r="D3682" s="4" t="s">
        <v>11</v>
      </c>
      <c r="E3682" s="5">
        <v>0</v>
      </c>
      <c r="F3682" s="5">
        <v>0</v>
      </c>
      <c r="G3682" s="5">
        <v>0</v>
      </c>
      <c r="H3682" s="4" t="s">
        <v>11</v>
      </c>
      <c r="I3682" s="5">
        <v>0</v>
      </c>
      <c r="J3682" s="4">
        <v>45916.294849537036</v>
      </c>
    </row>
    <row r="3683" spans="1:10" x14ac:dyDescent="0.2">
      <c r="A3683" s="2" t="s">
        <v>10</v>
      </c>
      <c r="B3683" s="3" t="str">
        <f t="shared" si="67"/>
        <v>France - HCP Survey Email - June 2025</v>
      </c>
      <c r="C3683" s="3" t="str">
        <f>HYPERLINK("https://otsuka-europe-crm.veevavault.com/ui/#object/sent_email__v/VBLZ025E82GNQ1X", "SE-000275432")</f>
        <v>SE-000275432</v>
      </c>
      <c r="D3683" s="4" t="s">
        <v>11</v>
      </c>
      <c r="E3683" s="5">
        <v>0</v>
      </c>
      <c r="F3683" s="5">
        <v>0</v>
      </c>
      <c r="G3683" s="5">
        <v>0</v>
      </c>
      <c r="H3683" s="4" t="s">
        <v>11</v>
      </c>
      <c r="I3683" s="5">
        <v>0</v>
      </c>
      <c r="J3683" s="4">
        <v>45916.294942129629</v>
      </c>
    </row>
    <row r="3684" spans="1:10" x14ac:dyDescent="0.2">
      <c r="A3684" s="2" t="s">
        <v>10</v>
      </c>
      <c r="B3684" s="3" t="str">
        <f t="shared" si="67"/>
        <v>France - HCP Survey Email - June 2025</v>
      </c>
      <c r="C3684" s="3" t="str">
        <f>HYPERLINK("https://otsuka-europe-crm.veevavault.com/ui/#object/sent_email__v/VBLZ025E82GNQ1Y", "SE-000275433")</f>
        <v>SE-000275433</v>
      </c>
      <c r="D3684" s="4" t="s">
        <v>11</v>
      </c>
      <c r="E3684" s="5">
        <v>0</v>
      </c>
      <c r="F3684" s="5">
        <v>0</v>
      </c>
      <c r="G3684" s="5">
        <v>0</v>
      </c>
      <c r="H3684" s="4" t="s">
        <v>11</v>
      </c>
      <c r="I3684" s="5">
        <v>0</v>
      </c>
      <c r="J3684" s="4">
        <v>45916.294317129628</v>
      </c>
    </row>
    <row r="3685" spans="1:10" x14ac:dyDescent="0.2">
      <c r="A3685" s="2" t="s">
        <v>10</v>
      </c>
      <c r="B3685" s="3" t="str">
        <f t="shared" si="67"/>
        <v>France - HCP Survey Email - June 2025</v>
      </c>
      <c r="C3685" s="3" t="str">
        <f>HYPERLINK("https://otsuka-europe-crm.veevavault.com/ui/#object/sent_email__v/VBLZ025E82GNQ1Z", "SE-000275434")</f>
        <v>SE-000275434</v>
      </c>
      <c r="D3685" s="4" t="s">
        <v>11</v>
      </c>
      <c r="E3685" s="5">
        <v>0</v>
      </c>
      <c r="F3685" s="5">
        <v>0</v>
      </c>
      <c r="G3685" s="5">
        <v>0</v>
      </c>
      <c r="H3685" s="4" t="s">
        <v>11</v>
      </c>
      <c r="I3685" s="5">
        <v>0</v>
      </c>
      <c r="J3685" s="4">
        <v>45916.294490740744</v>
      </c>
    </row>
    <row r="3686" spans="1:10" x14ac:dyDescent="0.2">
      <c r="A3686" s="2" t="s">
        <v>10</v>
      </c>
      <c r="B3686" s="3" t="str">
        <f t="shared" si="67"/>
        <v>France - HCP Survey Email - June 2025</v>
      </c>
      <c r="C3686" s="3" t="str">
        <f>HYPERLINK("https://otsuka-europe-crm.veevavault.com/ui/#object/sent_email__v/VBLZ025E82GNQ20", "SE-000275435")</f>
        <v>SE-000275435</v>
      </c>
      <c r="D3686" s="4" t="s">
        <v>11</v>
      </c>
      <c r="E3686" s="5">
        <v>0</v>
      </c>
      <c r="F3686" s="5">
        <v>0</v>
      </c>
      <c r="G3686" s="5">
        <v>0</v>
      </c>
      <c r="H3686" s="4" t="s">
        <v>11</v>
      </c>
      <c r="I3686" s="5">
        <v>0</v>
      </c>
      <c r="J3686" s="4">
        <v>45916.294675925928</v>
      </c>
    </row>
    <row r="3687" spans="1:10" x14ac:dyDescent="0.2">
      <c r="A3687" s="2" t="s">
        <v>10</v>
      </c>
      <c r="B3687" s="3" t="str">
        <f t="shared" si="67"/>
        <v>France - HCP Survey Email - June 2025</v>
      </c>
      <c r="C3687" s="3" t="str">
        <f>HYPERLINK("https://otsuka-europe-crm.veevavault.com/ui/#object/sent_email__v/VBLZ025E82GNQ21", "SE-000275436")</f>
        <v>SE-000275436</v>
      </c>
      <c r="D3687" s="4" t="s">
        <v>11</v>
      </c>
      <c r="E3687" s="5">
        <v>0</v>
      </c>
      <c r="F3687" s="5">
        <v>0</v>
      </c>
      <c r="G3687" s="5">
        <v>0</v>
      </c>
      <c r="H3687" s="4" t="s">
        <v>11</v>
      </c>
      <c r="I3687" s="5">
        <v>0</v>
      </c>
      <c r="J3687" s="4">
        <v>45916.294988425929</v>
      </c>
    </row>
    <row r="3688" spans="1:10" x14ac:dyDescent="0.2">
      <c r="A3688" s="2" t="s">
        <v>10</v>
      </c>
      <c r="B3688" s="3" t="str">
        <f t="shared" si="67"/>
        <v>France - HCP Survey Email - June 2025</v>
      </c>
      <c r="C3688" s="3" t="str">
        <f>HYPERLINK("https://otsuka-europe-crm.veevavault.com/ui/#object/sent_email__v/VBLZ025E82GNQ22", "SE-000275437")</f>
        <v>SE-000275437</v>
      </c>
      <c r="D3688" s="4">
        <v>45917.276967592596</v>
      </c>
      <c r="E3688" s="5">
        <v>1</v>
      </c>
      <c r="F3688" s="5">
        <v>1</v>
      </c>
      <c r="G3688" s="5">
        <v>1</v>
      </c>
      <c r="H3688" s="4">
        <v>45917.276967592596</v>
      </c>
      <c r="I3688" s="5">
        <v>1</v>
      </c>
      <c r="J3688" s="4">
        <v>45916.294409722221</v>
      </c>
    </row>
    <row r="3689" spans="1:10" x14ac:dyDescent="0.2">
      <c r="A3689" s="2" t="s">
        <v>10</v>
      </c>
      <c r="B3689" s="3" t="str">
        <f t="shared" si="67"/>
        <v>France - HCP Survey Email - June 2025</v>
      </c>
      <c r="C3689" s="3" t="str">
        <f>HYPERLINK("https://otsuka-europe-crm.veevavault.com/ui/#object/sent_email__v/VBLZ025E82GNQ23", "SE-000275438")</f>
        <v>SE-000275438</v>
      </c>
      <c r="D3689" s="4" t="s">
        <v>11</v>
      </c>
      <c r="E3689" s="5">
        <v>0</v>
      </c>
      <c r="F3689" s="5">
        <v>0</v>
      </c>
      <c r="G3689" s="5">
        <v>0</v>
      </c>
      <c r="H3689" s="4" t="s">
        <v>11</v>
      </c>
      <c r="I3689" s="5">
        <v>0</v>
      </c>
      <c r="J3689" s="4">
        <v>45916.294756944444</v>
      </c>
    </row>
    <row r="3690" spans="1:10" x14ac:dyDescent="0.2">
      <c r="A3690" s="2" t="s">
        <v>10</v>
      </c>
      <c r="B3690" s="3" t="str">
        <f t="shared" si="67"/>
        <v>France - HCP Survey Email - June 2025</v>
      </c>
      <c r="C3690" s="3" t="str">
        <f>HYPERLINK("https://otsuka-europe-crm.veevavault.com/ui/#object/sent_email__v/VBLZ025E82GNQ24", "SE-000275439")</f>
        <v>SE-000275439</v>
      </c>
      <c r="D3690" s="4" t="s">
        <v>11</v>
      </c>
      <c r="E3690" s="5">
        <v>0</v>
      </c>
      <c r="F3690" s="5">
        <v>0</v>
      </c>
      <c r="G3690" s="5">
        <v>0</v>
      </c>
      <c r="H3690" s="4" t="s">
        <v>11</v>
      </c>
      <c r="I3690" s="5">
        <v>0</v>
      </c>
      <c r="J3690" s="4">
        <v>45916.29488425926</v>
      </c>
    </row>
    <row r="3691" spans="1:10" x14ac:dyDescent="0.2">
      <c r="A3691" s="2" t="s">
        <v>10</v>
      </c>
      <c r="B3691" s="3" t="str">
        <f t="shared" si="67"/>
        <v>France - HCP Survey Email - June 2025</v>
      </c>
      <c r="C3691" s="3" t="str">
        <f>HYPERLINK("https://otsuka-europe-crm.veevavault.com/ui/#object/sent_email__v/VBLZ025E82GNQ25", "SE-000275440")</f>
        <v>SE-000275440</v>
      </c>
      <c r="D3691" s="4" t="s">
        <v>11</v>
      </c>
      <c r="E3691" s="5">
        <v>0</v>
      </c>
      <c r="F3691" s="5">
        <v>0</v>
      </c>
      <c r="G3691" s="5">
        <v>0</v>
      </c>
      <c r="H3691" s="4" t="s">
        <v>11</v>
      </c>
      <c r="I3691" s="5">
        <v>0</v>
      </c>
      <c r="J3691" s="4">
        <v>45916.294270833336</v>
      </c>
    </row>
    <row r="3692" spans="1:10" x14ac:dyDescent="0.2">
      <c r="A3692" s="2" t="s">
        <v>10</v>
      </c>
      <c r="B3692" s="3" t="str">
        <f t="shared" si="67"/>
        <v>France - HCP Survey Email - June 2025</v>
      </c>
      <c r="C3692" s="3" t="str">
        <f>HYPERLINK("https://otsuka-europe-crm.veevavault.com/ui/#object/sent_email__v/VBLZ025E82GNQ26", "SE-000275441")</f>
        <v>SE-000275441</v>
      </c>
      <c r="D3692" s="4" t="s">
        <v>11</v>
      </c>
      <c r="E3692" s="5">
        <v>0</v>
      </c>
      <c r="F3692" s="5">
        <v>0</v>
      </c>
      <c r="G3692" s="5">
        <v>0</v>
      </c>
      <c r="H3692" s="4" t="s">
        <v>11</v>
      </c>
      <c r="I3692" s="5">
        <v>0</v>
      </c>
      <c r="J3692" s="4">
        <v>45916.294351851851</v>
      </c>
    </row>
    <row r="3693" spans="1:10" x14ac:dyDescent="0.2">
      <c r="A3693" s="2" t="s">
        <v>10</v>
      </c>
      <c r="B3693" s="3" t="str">
        <f t="shared" si="67"/>
        <v>France - HCP Survey Email - June 2025</v>
      </c>
      <c r="C3693" s="3" t="str">
        <f>HYPERLINK("https://otsuka-europe-crm.veevavault.com/ui/#object/sent_email__v/VBLZ025E82GNQ27", "SE-000275442")</f>
        <v>SE-000275442</v>
      </c>
      <c r="D3693" s="4" t="s">
        <v>11</v>
      </c>
      <c r="E3693" s="5">
        <v>0</v>
      </c>
      <c r="F3693" s="5">
        <v>0</v>
      </c>
      <c r="G3693" s="5">
        <v>0</v>
      </c>
      <c r="H3693" s="4" t="s">
        <v>11</v>
      </c>
      <c r="I3693" s="5">
        <v>0</v>
      </c>
      <c r="J3693" s="4">
        <v>45916.294745370367</v>
      </c>
    </row>
    <row r="3694" spans="1:10" x14ac:dyDescent="0.2">
      <c r="A3694" s="2" t="s">
        <v>10</v>
      </c>
      <c r="B3694" s="3" t="str">
        <f t="shared" si="67"/>
        <v>France - HCP Survey Email - June 2025</v>
      </c>
      <c r="C3694" s="3" t="str">
        <f>HYPERLINK("https://otsuka-europe-crm.veevavault.com/ui/#object/sent_email__v/VBLZ025E82GNQ28", "SE-000275443")</f>
        <v>SE-000275443</v>
      </c>
      <c r="D3694" s="4">
        <v>45923.459374999999</v>
      </c>
      <c r="E3694" s="5">
        <v>1</v>
      </c>
      <c r="F3694" s="5">
        <v>1</v>
      </c>
      <c r="G3694" s="5">
        <v>0</v>
      </c>
      <c r="H3694" s="4" t="s">
        <v>11</v>
      </c>
      <c r="I3694" s="5">
        <v>0</v>
      </c>
      <c r="J3694" s="4">
        <v>45916.294930555552</v>
      </c>
    </row>
    <row r="3695" spans="1:10" x14ac:dyDescent="0.2">
      <c r="A3695" s="2" t="s">
        <v>10</v>
      </c>
      <c r="B3695" s="3" t="str">
        <f t="shared" si="67"/>
        <v>France - HCP Survey Email - June 2025</v>
      </c>
      <c r="C3695" s="3" t="str">
        <f>HYPERLINK("https://otsuka-europe-crm.veevavault.com/ui/#object/sent_email__v/VBLZ025E82GNQ29", "SE-000275444")</f>
        <v>SE-000275444</v>
      </c>
      <c r="D3695" s="4" t="s">
        <v>11</v>
      </c>
      <c r="E3695" s="5">
        <v>0</v>
      </c>
      <c r="F3695" s="5">
        <v>0</v>
      </c>
      <c r="G3695" s="5">
        <v>0</v>
      </c>
      <c r="H3695" s="4" t="s">
        <v>11</v>
      </c>
      <c r="I3695" s="5">
        <v>0</v>
      </c>
      <c r="J3695" s="4">
        <v>45916.294317129628</v>
      </c>
    </row>
    <row r="3696" spans="1:10" x14ac:dyDescent="0.2">
      <c r="A3696" s="2" t="s">
        <v>10</v>
      </c>
      <c r="B3696" s="3" t="str">
        <f t="shared" si="67"/>
        <v>France - HCP Survey Email - June 2025</v>
      </c>
      <c r="C3696" s="3" t="str">
        <f>HYPERLINK("https://otsuka-europe-crm.veevavault.com/ui/#object/sent_email__v/VBLZ025E82GNQ2A", "SE-000275445")</f>
        <v>SE-000275445</v>
      </c>
      <c r="D3696" s="4" t="s">
        <v>11</v>
      </c>
      <c r="E3696" s="5">
        <v>0</v>
      </c>
      <c r="F3696" s="5">
        <v>0</v>
      </c>
      <c r="G3696" s="5">
        <v>0</v>
      </c>
      <c r="H3696" s="4" t="s">
        <v>11</v>
      </c>
      <c r="I3696" s="5">
        <v>0</v>
      </c>
      <c r="J3696" s="4">
        <v>45916.294212962966</v>
      </c>
    </row>
    <row r="3697" spans="1:10" x14ac:dyDescent="0.2">
      <c r="A3697" s="2" t="s">
        <v>10</v>
      </c>
      <c r="B3697" s="3" t="str">
        <f t="shared" si="67"/>
        <v>France - HCP Survey Email - June 2025</v>
      </c>
      <c r="C3697" s="3" t="str">
        <f>HYPERLINK("https://otsuka-europe-crm.veevavault.com/ui/#object/sent_email__v/VBLZ025E82GNQ2B", "SE-000275446")</f>
        <v>SE-000275446</v>
      </c>
      <c r="D3697" s="4">
        <v>45916.431805555556</v>
      </c>
      <c r="E3697" s="5">
        <v>1</v>
      </c>
      <c r="F3697" s="5">
        <v>2</v>
      </c>
      <c r="G3697" s="5">
        <v>0</v>
      </c>
      <c r="H3697" s="4" t="s">
        <v>11</v>
      </c>
      <c r="I3697" s="5">
        <v>0</v>
      </c>
      <c r="J3697" s="4">
        <v>45916.294328703705</v>
      </c>
    </row>
    <row r="3698" spans="1:10" x14ac:dyDescent="0.2">
      <c r="A3698" s="2" t="s">
        <v>10</v>
      </c>
      <c r="B3698" s="3" t="str">
        <f t="shared" si="67"/>
        <v>France - HCP Survey Email - June 2025</v>
      </c>
      <c r="C3698" s="3" t="str">
        <f>HYPERLINK("https://otsuka-europe-crm.veevavault.com/ui/#object/sent_email__v/VBLZ025E82GNQ2C", "SE-000275447")</f>
        <v>SE-000275447</v>
      </c>
      <c r="D3698" s="4" t="s">
        <v>11</v>
      </c>
      <c r="E3698" s="5">
        <v>0</v>
      </c>
      <c r="F3698" s="5">
        <v>0</v>
      </c>
      <c r="G3698" s="5">
        <v>0</v>
      </c>
      <c r="H3698" s="4" t="s">
        <v>11</v>
      </c>
      <c r="I3698" s="5">
        <v>0</v>
      </c>
      <c r="J3698" s="4">
        <v>45916.294733796298</v>
      </c>
    </row>
    <row r="3699" spans="1:10" x14ac:dyDescent="0.2">
      <c r="A3699" s="2" t="s">
        <v>10</v>
      </c>
      <c r="B3699" s="3" t="str">
        <f t="shared" si="67"/>
        <v>France - HCP Survey Email - June 2025</v>
      </c>
      <c r="C3699" s="3" t="str">
        <f>HYPERLINK("https://otsuka-europe-crm.veevavault.com/ui/#object/sent_email__v/VBLZ025E82GNQ2D", "SE-000275448")</f>
        <v>SE-000275448</v>
      </c>
      <c r="D3699" s="4" t="s">
        <v>11</v>
      </c>
      <c r="E3699" s="5">
        <v>0</v>
      </c>
      <c r="F3699" s="5">
        <v>0</v>
      </c>
      <c r="G3699" s="5">
        <v>0</v>
      </c>
      <c r="H3699" s="4" t="s">
        <v>11</v>
      </c>
      <c r="I3699" s="5">
        <v>0</v>
      </c>
      <c r="J3699" s="4">
        <v>45916.294988425929</v>
      </c>
    </row>
    <row r="3700" spans="1:10" x14ac:dyDescent="0.2">
      <c r="A3700" s="2" t="s">
        <v>10</v>
      </c>
      <c r="B3700" s="3" t="str">
        <f t="shared" si="67"/>
        <v>France - HCP Survey Email - June 2025</v>
      </c>
      <c r="C3700" s="3" t="str">
        <f>HYPERLINK("https://otsuka-europe-crm.veevavault.com/ui/#object/sent_email__v/VBLZ025E82GNQ2E", "SE-000275449")</f>
        <v>SE-000275449</v>
      </c>
      <c r="D3700" s="4" t="s">
        <v>11</v>
      </c>
      <c r="E3700" s="5">
        <v>0</v>
      </c>
      <c r="F3700" s="5">
        <v>0</v>
      </c>
      <c r="G3700" s="5">
        <v>0</v>
      </c>
      <c r="H3700" s="4" t="s">
        <v>11</v>
      </c>
      <c r="I3700" s="5">
        <v>0</v>
      </c>
      <c r="J3700" s="4">
        <v>45916.294282407405</v>
      </c>
    </row>
    <row r="3701" spans="1:10" x14ac:dyDescent="0.2">
      <c r="A3701" s="2" t="s">
        <v>10</v>
      </c>
      <c r="B3701" s="3" t="str">
        <f t="shared" si="67"/>
        <v>France - HCP Survey Email - June 2025</v>
      </c>
      <c r="C3701" s="3" t="str">
        <f>HYPERLINK("https://otsuka-europe-crm.veevavault.com/ui/#object/sent_email__v/VBLZ025E82GNQ2F", "SE-000275450")</f>
        <v>SE-000275450</v>
      </c>
      <c r="D3701" s="4" t="s">
        <v>11</v>
      </c>
      <c r="E3701" s="5">
        <v>0</v>
      </c>
      <c r="F3701" s="5">
        <v>0</v>
      </c>
      <c r="G3701" s="5">
        <v>0</v>
      </c>
      <c r="H3701" s="4" t="s">
        <v>11</v>
      </c>
      <c r="I3701" s="5">
        <v>0</v>
      </c>
      <c r="J3701" s="4">
        <v>45916.294502314813</v>
      </c>
    </row>
    <row r="3702" spans="1:10" x14ac:dyDescent="0.2">
      <c r="A3702" s="2" t="s">
        <v>10</v>
      </c>
      <c r="B3702" s="3" t="str">
        <f t="shared" si="67"/>
        <v>France - HCP Survey Email - June 2025</v>
      </c>
      <c r="C3702" s="3" t="str">
        <f>HYPERLINK("https://otsuka-europe-crm.veevavault.com/ui/#object/sent_email__v/VBLZ025E82GNQ2G", "SE-000275451")</f>
        <v>SE-000275451</v>
      </c>
      <c r="D3702" s="4" t="s">
        <v>11</v>
      </c>
      <c r="E3702" s="5">
        <v>0</v>
      </c>
      <c r="F3702" s="5">
        <v>0</v>
      </c>
      <c r="G3702" s="5">
        <v>0</v>
      </c>
      <c r="H3702" s="4" t="s">
        <v>11</v>
      </c>
      <c r="I3702" s="5">
        <v>0</v>
      </c>
      <c r="J3702" s="4">
        <v>45916.294675925928</v>
      </c>
    </row>
    <row r="3703" spans="1:10" x14ac:dyDescent="0.2">
      <c r="A3703" s="2" t="s">
        <v>10</v>
      </c>
      <c r="B3703" s="3" t="str">
        <f t="shared" si="67"/>
        <v>France - HCP Survey Email - June 2025</v>
      </c>
      <c r="C3703" s="3" t="str">
        <f>HYPERLINK("https://otsuka-europe-crm.veevavault.com/ui/#object/sent_email__v/VBLZ025E82GNQ2H", "SE-000275452")</f>
        <v>SE-000275452</v>
      </c>
      <c r="D3703" s="4" t="s">
        <v>11</v>
      </c>
      <c r="E3703" s="5">
        <v>0</v>
      </c>
      <c r="F3703" s="5">
        <v>0</v>
      </c>
      <c r="G3703" s="5">
        <v>0</v>
      </c>
      <c r="H3703" s="4" t="s">
        <v>11</v>
      </c>
      <c r="I3703" s="5">
        <v>0</v>
      </c>
      <c r="J3703" s="4">
        <v>45916.294930555552</v>
      </c>
    </row>
    <row r="3704" spans="1:10" x14ac:dyDescent="0.2">
      <c r="A3704" s="2" t="s">
        <v>10</v>
      </c>
      <c r="B3704" s="3" t="str">
        <f t="shared" si="67"/>
        <v>France - HCP Survey Email - June 2025</v>
      </c>
      <c r="C3704" s="3" t="str">
        <f>HYPERLINK("https://otsuka-europe-crm.veevavault.com/ui/#object/sent_email__v/VBLZ025E82GNQ2I", "SE-000275453")</f>
        <v>SE-000275453</v>
      </c>
      <c r="D3704" s="4" t="s">
        <v>11</v>
      </c>
      <c r="E3704" s="5">
        <v>0</v>
      </c>
      <c r="F3704" s="5">
        <v>0</v>
      </c>
      <c r="G3704" s="5">
        <v>0</v>
      </c>
      <c r="H3704" s="4" t="s">
        <v>11</v>
      </c>
      <c r="I3704" s="5">
        <v>0</v>
      </c>
      <c r="J3704" s="4">
        <v>45916.294398148151</v>
      </c>
    </row>
    <row r="3705" spans="1:10" x14ac:dyDescent="0.2">
      <c r="A3705" s="2" t="s">
        <v>10</v>
      </c>
      <c r="B3705" s="3" t="str">
        <f t="shared" si="67"/>
        <v>France - HCP Survey Email - June 2025</v>
      </c>
      <c r="C3705" s="3" t="str">
        <f>HYPERLINK("https://otsuka-europe-crm.veevavault.com/ui/#object/sent_email__v/VBLZ025E82GNQ2J", "SE-000275454")</f>
        <v>SE-000275454</v>
      </c>
      <c r="D3705" s="4" t="s">
        <v>11</v>
      </c>
      <c r="E3705" s="5">
        <v>0</v>
      </c>
      <c r="F3705" s="5">
        <v>0</v>
      </c>
      <c r="G3705" s="5">
        <v>0</v>
      </c>
      <c r="H3705" s="4" t="s">
        <v>11</v>
      </c>
      <c r="I3705" s="5">
        <v>0</v>
      </c>
      <c r="J3705" s="4">
        <v>45916.294733796298</v>
      </c>
    </row>
    <row r="3706" spans="1:10" x14ac:dyDescent="0.2">
      <c r="A3706" s="2" t="s">
        <v>10</v>
      </c>
      <c r="B3706" s="3" t="str">
        <f t="shared" si="67"/>
        <v>France - HCP Survey Email - June 2025</v>
      </c>
      <c r="C3706" s="3" t="str">
        <f>HYPERLINK("https://otsuka-europe-crm.veevavault.com/ui/#object/sent_email__v/VBLZ025E82GNQ2K", "SE-000275455")</f>
        <v>SE-000275455</v>
      </c>
      <c r="D3706" s="4" t="s">
        <v>11</v>
      </c>
      <c r="E3706" s="5">
        <v>0</v>
      </c>
      <c r="F3706" s="5">
        <v>0</v>
      </c>
      <c r="G3706" s="5">
        <v>0</v>
      </c>
      <c r="H3706" s="4" t="s">
        <v>11</v>
      </c>
      <c r="I3706" s="5">
        <v>0</v>
      </c>
      <c r="J3706" s="4">
        <v>45916.294803240744</v>
      </c>
    </row>
    <row r="3707" spans="1:10" x14ac:dyDescent="0.2">
      <c r="A3707" s="2" t="s">
        <v>10</v>
      </c>
      <c r="B3707" s="3" t="str">
        <f t="shared" si="67"/>
        <v>France - HCP Survey Email - June 2025</v>
      </c>
      <c r="C3707" s="3" t="str">
        <f>HYPERLINK("https://otsuka-europe-crm.veevavault.com/ui/#object/sent_email__v/VBLZ025E82GNQ2L", "SE-000275456")</f>
        <v>SE-000275456</v>
      </c>
      <c r="D3707" s="4" t="s">
        <v>11</v>
      </c>
      <c r="E3707" s="5">
        <v>0</v>
      </c>
      <c r="F3707" s="5">
        <v>0</v>
      </c>
      <c r="G3707" s="5">
        <v>0</v>
      </c>
      <c r="H3707" s="4" t="s">
        <v>11</v>
      </c>
      <c r="I3707" s="5">
        <v>0</v>
      </c>
      <c r="J3707" s="4">
        <v>45916.29420138889</v>
      </c>
    </row>
    <row r="3708" spans="1:10" x14ac:dyDescent="0.2">
      <c r="A3708" s="2" t="s">
        <v>10</v>
      </c>
      <c r="B3708" s="3" t="str">
        <f t="shared" si="67"/>
        <v>France - HCP Survey Email - June 2025</v>
      </c>
      <c r="C3708" s="3" t="str">
        <f>HYPERLINK("https://otsuka-europe-crm.veevavault.com/ui/#object/sent_email__v/VBLZ025E82GNQ2M", "SE-000275457")</f>
        <v>SE-000275457</v>
      </c>
      <c r="D3708" s="4" t="s">
        <v>11</v>
      </c>
      <c r="E3708" s="5">
        <v>0</v>
      </c>
      <c r="F3708" s="5">
        <v>0</v>
      </c>
      <c r="G3708" s="5">
        <v>0</v>
      </c>
      <c r="H3708" s="4" t="s">
        <v>11</v>
      </c>
      <c r="I3708" s="5">
        <v>0</v>
      </c>
      <c r="J3708" s="4">
        <v>45916.294409722221</v>
      </c>
    </row>
    <row r="3709" spans="1:10" x14ac:dyDescent="0.2">
      <c r="A3709" s="2" t="s">
        <v>10</v>
      </c>
      <c r="B3709" s="3" t="str">
        <f t="shared" si="67"/>
        <v>France - HCP Survey Email - June 2025</v>
      </c>
      <c r="C3709" s="3" t="str">
        <f>HYPERLINK("https://otsuka-europe-crm.veevavault.com/ui/#object/sent_email__v/VBLZ025E82GNQ2N", "SE-000275458")</f>
        <v>SE-000275458</v>
      </c>
      <c r="D3709" s="4">
        <v>45916.332557870373</v>
      </c>
      <c r="E3709" s="5">
        <v>1</v>
      </c>
      <c r="F3709" s="5">
        <v>1</v>
      </c>
      <c r="G3709" s="5">
        <v>1</v>
      </c>
      <c r="H3709" s="4">
        <v>45916.334363425929</v>
      </c>
      <c r="I3709" s="5">
        <v>3</v>
      </c>
      <c r="J3709" s="4">
        <v>45916.294733796298</v>
      </c>
    </row>
    <row r="3710" spans="1:10" x14ac:dyDescent="0.2">
      <c r="A3710" s="2" t="s">
        <v>10</v>
      </c>
      <c r="B3710" s="3" t="str">
        <f t="shared" ref="B3710:B3717" si="68">HYPERLINK("https://otsuka-europe-crm.veevavault.com/ui/#object/approved_document__v/V5O00000000C066", "France - Opt In Email Aug 25")</f>
        <v>France - Opt In Email Aug 25</v>
      </c>
      <c r="C3710" s="3" t="str">
        <f>HYPERLINK("https://otsuka-europe-crm.veevavault.com/ui/#object/sent_email__v/VBL00000000X498", "SE-001396364")</f>
        <v>SE-001396364</v>
      </c>
      <c r="D3710" s="4">
        <v>46002.670949074076</v>
      </c>
      <c r="E3710" s="5">
        <v>1</v>
      </c>
      <c r="F3710" s="5">
        <v>2</v>
      </c>
      <c r="G3710" s="5">
        <v>0</v>
      </c>
      <c r="H3710" s="4" t="s">
        <v>11</v>
      </c>
      <c r="I3710" s="5">
        <v>0</v>
      </c>
      <c r="J3710" s="4">
        <v>46002.649976851855</v>
      </c>
    </row>
    <row r="3711" spans="1:10" x14ac:dyDescent="0.2">
      <c r="A3711" s="2" t="s">
        <v>10</v>
      </c>
      <c r="B3711" s="3" t="str">
        <f t="shared" si="68"/>
        <v>France - Opt In Email Aug 25</v>
      </c>
      <c r="C3711" s="3" t="str">
        <f>HYPERLINK("https://otsuka-europe-crm.veevavault.com/ui/#object/sent_email__v/VBL000000010211", "SE-001397523")</f>
        <v>SE-001397523</v>
      </c>
      <c r="D3711" s="4" t="s">
        <v>11</v>
      </c>
      <c r="E3711" s="5">
        <v>0</v>
      </c>
      <c r="F3711" s="5">
        <v>0</v>
      </c>
      <c r="G3711" s="5">
        <v>0</v>
      </c>
      <c r="H3711" s="4" t="s">
        <v>11</v>
      </c>
      <c r="I3711" s="5">
        <v>0</v>
      </c>
      <c r="J3711" s="4">
        <v>46008.660763888889</v>
      </c>
    </row>
    <row r="3712" spans="1:10" x14ac:dyDescent="0.2">
      <c r="A3712" s="2" t="s">
        <v>10</v>
      </c>
      <c r="B3712" s="3" t="str">
        <f t="shared" si="68"/>
        <v>France - Opt In Email Aug 25</v>
      </c>
      <c r="C3712" s="3" t="str">
        <f>HYPERLINK("https://otsuka-europe-crm.veevavault.com/ui/#object/sent_email__v/VBL000000010213", "SE-001397527")</f>
        <v>SE-001397527</v>
      </c>
      <c r="D3712" s="4">
        <v>46008.668854166666</v>
      </c>
      <c r="E3712" s="5">
        <v>1</v>
      </c>
      <c r="F3712" s="5">
        <v>1</v>
      </c>
      <c r="G3712" s="5">
        <v>0</v>
      </c>
      <c r="H3712" s="4" t="s">
        <v>11</v>
      </c>
      <c r="I3712" s="5">
        <v>0</v>
      </c>
      <c r="J3712" s="4">
        <v>46008.662847222222</v>
      </c>
    </row>
    <row r="3713" spans="1:10" x14ac:dyDescent="0.2">
      <c r="A3713" s="2" t="s">
        <v>10</v>
      </c>
      <c r="B3713" s="3" t="str">
        <f t="shared" si="68"/>
        <v>France - Opt In Email Aug 25</v>
      </c>
      <c r="C3713" s="3" t="str">
        <f>HYPERLINK("https://otsuka-europe-crm.veevavault.com/ui/#object/sent_email__v/VBL000000013810", "SE-001399365")</f>
        <v>SE-001399365</v>
      </c>
      <c r="D3713" s="4" t="s">
        <v>11</v>
      </c>
      <c r="E3713" s="5">
        <v>0</v>
      </c>
      <c r="F3713" s="5">
        <v>0</v>
      </c>
      <c r="G3713" s="5">
        <v>0</v>
      </c>
      <c r="H3713" s="4" t="s">
        <v>11</v>
      </c>
      <c r="I3713" s="5">
        <v>0</v>
      </c>
      <c r="J3713" s="4">
        <v>46029.62400462963</v>
      </c>
    </row>
    <row r="3714" spans="1:10" x14ac:dyDescent="0.2">
      <c r="A3714" s="2" t="s">
        <v>10</v>
      </c>
      <c r="B3714" s="3" t="str">
        <f t="shared" si="68"/>
        <v>France - Opt In Email Aug 25</v>
      </c>
      <c r="C3714" s="3" t="str">
        <f>HYPERLINK("https://otsuka-europe-crm.veevavault.com/ui/#object/sent_email__v/VBL000000012729", "SE-001399367")</f>
        <v>SE-001399367</v>
      </c>
      <c r="D3714" s="4" t="s">
        <v>11</v>
      </c>
      <c r="E3714" s="5">
        <v>0</v>
      </c>
      <c r="F3714" s="5">
        <v>0</v>
      </c>
      <c r="G3714" s="5">
        <v>0</v>
      </c>
      <c r="H3714" s="4" t="s">
        <v>11</v>
      </c>
      <c r="I3714" s="5">
        <v>0</v>
      </c>
      <c r="J3714" s="4">
        <v>46029.624548611115</v>
      </c>
    </row>
    <row r="3715" spans="1:10" x14ac:dyDescent="0.2">
      <c r="A3715" s="2" t="s">
        <v>10</v>
      </c>
      <c r="B3715" s="3" t="str">
        <f t="shared" si="68"/>
        <v>France - Opt In Email Aug 25</v>
      </c>
      <c r="C3715" s="3" t="str">
        <f>HYPERLINK("https://otsuka-europe-crm.veevavault.com/ui/#object/sent_email__v/VBL000000015095", "SE-001400189")</f>
        <v>SE-001400189</v>
      </c>
      <c r="D3715" s="4">
        <v>46061.496944444443</v>
      </c>
      <c r="E3715" s="5">
        <v>1</v>
      </c>
      <c r="F3715" s="5">
        <v>2</v>
      </c>
      <c r="G3715" s="5">
        <v>0</v>
      </c>
      <c r="H3715" s="4" t="s">
        <v>11</v>
      </c>
      <c r="I3715" s="5">
        <v>0</v>
      </c>
      <c r="J3715" s="4">
        <v>46041.356053240743</v>
      </c>
    </row>
    <row r="3716" spans="1:10" x14ac:dyDescent="0.2">
      <c r="A3716" s="2" t="s">
        <v>10</v>
      </c>
      <c r="B3716" s="3" t="str">
        <f t="shared" si="68"/>
        <v>France - Opt In Email Aug 25</v>
      </c>
      <c r="C3716" s="3" t="str">
        <f>HYPERLINK("https://otsuka-europe-crm.veevavault.com/ui/#object/sent_email__v/VBL000000016084", "SE-001400190")</f>
        <v>SE-001400190</v>
      </c>
      <c r="D3716" s="4">
        <v>46061.496944444443</v>
      </c>
      <c r="E3716" s="5">
        <v>1</v>
      </c>
      <c r="F3716" s="5">
        <v>2</v>
      </c>
      <c r="G3716" s="5">
        <v>0</v>
      </c>
      <c r="H3716" s="4" t="s">
        <v>11</v>
      </c>
      <c r="I3716" s="5">
        <v>0</v>
      </c>
      <c r="J3716" s="4">
        <v>46041.357511574075</v>
      </c>
    </row>
    <row r="3717" spans="1:10" x14ac:dyDescent="0.2">
      <c r="A3717" s="2" t="s">
        <v>10</v>
      </c>
      <c r="B3717" s="3" t="str">
        <f t="shared" si="68"/>
        <v>France - Opt In Email Aug 25</v>
      </c>
      <c r="C3717" s="3" t="str">
        <f>HYPERLINK("https://otsuka-europe-crm.veevavault.com/ui/#object/sent_email__v/VBL000000016085", "SE-001400191")</f>
        <v>SE-001400191</v>
      </c>
      <c r="D3717" s="4">
        <v>46061.496944444443</v>
      </c>
      <c r="E3717" s="5">
        <v>1</v>
      </c>
      <c r="F3717" s="5">
        <v>2</v>
      </c>
      <c r="G3717" s="5">
        <v>0</v>
      </c>
      <c r="H3717" s="4" t="s">
        <v>11</v>
      </c>
      <c r="I3717" s="5">
        <v>0</v>
      </c>
      <c r="J3717" s="4">
        <v>46041.357905092591</v>
      </c>
    </row>
    <row r="3718" spans="1:10" x14ac:dyDescent="0.2">
      <c r="A3718" s="2" t="s">
        <v>10</v>
      </c>
      <c r="B3718" s="3" t="str">
        <f t="shared" ref="B3718:B3746" si="69">HYPERLINK("https://otsuka-europe-crm.veevavault.com/ui/#object/approved_document__v/V5O00000000K003", "France - Opt In Email Aug 25 v2")</f>
        <v>France - Opt In Email Aug 25 v2</v>
      </c>
      <c r="C3718" s="3" t="str">
        <f>HYPERLINK("https://otsuka-europe-crm.veevavault.com/ui/#object/sent_email__v/VBL000000019261", "SE-001402602")</f>
        <v>SE-001402602</v>
      </c>
      <c r="D3718" s="4">
        <v>46056.661724537036</v>
      </c>
      <c r="E3718" s="5">
        <v>1</v>
      </c>
      <c r="F3718" s="5">
        <v>1</v>
      </c>
      <c r="G3718" s="5">
        <v>1</v>
      </c>
      <c r="H3718" s="4">
        <v>46056.661817129629</v>
      </c>
      <c r="I3718" s="5">
        <v>1</v>
      </c>
      <c r="J3718" s="4">
        <v>46056.647812499999</v>
      </c>
    </row>
    <row r="3719" spans="1:10" x14ac:dyDescent="0.2">
      <c r="A3719" s="2" t="s">
        <v>10</v>
      </c>
      <c r="B3719" s="3" t="str">
        <f t="shared" si="69"/>
        <v>France - Opt In Email Aug 25 v2</v>
      </c>
      <c r="C3719" s="3" t="str">
        <f>HYPERLINK("https://otsuka-europe-crm.veevavault.com/ui/#object/sent_email__v/VBL00000001C319", "SE-001403592")</f>
        <v>SE-001403592</v>
      </c>
      <c r="D3719" s="4" t="s">
        <v>11</v>
      </c>
      <c r="E3719" s="5">
        <v>0</v>
      </c>
      <c r="F3719" s="5">
        <v>0</v>
      </c>
      <c r="G3719" s="5">
        <v>0</v>
      </c>
      <c r="H3719" s="4" t="s">
        <v>11</v>
      </c>
      <c r="I3719" s="5">
        <v>0</v>
      </c>
      <c r="J3719" s="4">
        <v>46063.362025462964</v>
      </c>
    </row>
    <row r="3720" spans="1:10" x14ac:dyDescent="0.2">
      <c r="A3720" s="2" t="s">
        <v>10</v>
      </c>
      <c r="B3720" s="3" t="str">
        <f t="shared" si="69"/>
        <v>France - Opt In Email Aug 25 v2</v>
      </c>
      <c r="C3720" s="3" t="str">
        <f>HYPERLINK("https://otsuka-europe-crm.veevavault.com/ui/#object/sent_email__v/VBL00000001C322", "SE-001403595")</f>
        <v>SE-001403595</v>
      </c>
      <c r="D3720" s="4" t="s">
        <v>11</v>
      </c>
      <c r="E3720" s="5">
        <v>0</v>
      </c>
      <c r="F3720" s="5">
        <v>0</v>
      </c>
      <c r="G3720" s="5">
        <v>0</v>
      </c>
      <c r="H3720" s="4" t="s">
        <v>11</v>
      </c>
      <c r="I3720" s="5">
        <v>0</v>
      </c>
      <c r="J3720" s="4">
        <v>46063.362326388888</v>
      </c>
    </row>
    <row r="3721" spans="1:10" x14ac:dyDescent="0.2">
      <c r="A3721" s="2" t="s">
        <v>10</v>
      </c>
      <c r="B3721" s="3" t="str">
        <f t="shared" si="69"/>
        <v>France - Opt In Email Aug 25 v2</v>
      </c>
      <c r="C3721" s="3" t="str">
        <f>HYPERLINK("https://otsuka-europe-crm.veevavault.com/ui/#object/sent_email__v/VBL00000001C324", "SE-001403597")</f>
        <v>SE-001403597</v>
      </c>
      <c r="D3721" s="4" t="s">
        <v>11</v>
      </c>
      <c r="E3721" s="5">
        <v>0</v>
      </c>
      <c r="F3721" s="5">
        <v>0</v>
      </c>
      <c r="G3721" s="5">
        <v>0</v>
      </c>
      <c r="H3721" s="4" t="s">
        <v>11</v>
      </c>
      <c r="I3721" s="5">
        <v>0</v>
      </c>
      <c r="J3721" s="4">
        <v>46063.363043981481</v>
      </c>
    </row>
    <row r="3722" spans="1:10" x14ac:dyDescent="0.2">
      <c r="A3722" s="2" t="s">
        <v>10</v>
      </c>
      <c r="B3722" s="3" t="str">
        <f t="shared" si="69"/>
        <v>France - Opt In Email Aug 25 v2</v>
      </c>
      <c r="C3722" s="3" t="str">
        <f>HYPERLINK("https://otsuka-europe-crm.veevavault.com/ui/#object/sent_email__v/VBL00000001C325", "SE-001403598")</f>
        <v>SE-001403598</v>
      </c>
      <c r="D3722" s="4" t="s">
        <v>11</v>
      </c>
      <c r="E3722" s="5">
        <v>0</v>
      </c>
      <c r="F3722" s="5">
        <v>0</v>
      </c>
      <c r="G3722" s="5">
        <v>0</v>
      </c>
      <c r="H3722" s="4" t="s">
        <v>11</v>
      </c>
      <c r="I3722" s="5">
        <v>0</v>
      </c>
      <c r="J3722" s="4">
        <v>46063.363437499997</v>
      </c>
    </row>
    <row r="3723" spans="1:10" x14ac:dyDescent="0.2">
      <c r="A3723" s="2" t="s">
        <v>10</v>
      </c>
      <c r="B3723" s="3" t="str">
        <f t="shared" si="69"/>
        <v>France - Opt In Email Aug 25 v2</v>
      </c>
      <c r="C3723" s="3" t="str">
        <f>HYPERLINK("https://otsuka-europe-crm.veevavault.com/ui/#object/sent_email__v/VBL00000001B371", "SE-001403599")</f>
        <v>SE-001403599</v>
      </c>
      <c r="D3723" s="4">
        <v>46063.680486111109</v>
      </c>
      <c r="E3723" s="5">
        <v>1</v>
      </c>
      <c r="F3723" s="5">
        <v>1</v>
      </c>
      <c r="G3723" s="5">
        <v>1</v>
      </c>
      <c r="H3723" s="4">
        <v>46063.680486111109</v>
      </c>
      <c r="I3723" s="5">
        <v>1</v>
      </c>
      <c r="J3723" s="4">
        <v>46063.364560185182</v>
      </c>
    </row>
    <row r="3724" spans="1:10" x14ac:dyDescent="0.2">
      <c r="A3724" s="2" t="s">
        <v>10</v>
      </c>
      <c r="B3724" s="3" t="str">
        <f t="shared" si="69"/>
        <v>France - Opt In Email Aug 25 v2</v>
      </c>
      <c r="C3724" s="3" t="str">
        <f>HYPERLINK("https://otsuka-europe-crm.veevavault.com/ui/#object/sent_email__v/VBL00000001B373", "SE-001403601")</f>
        <v>SE-001403601</v>
      </c>
      <c r="D3724" s="4">
        <v>46063.473391203705</v>
      </c>
      <c r="E3724" s="5">
        <v>1</v>
      </c>
      <c r="F3724" s="5">
        <v>1</v>
      </c>
      <c r="G3724" s="5">
        <v>1</v>
      </c>
      <c r="H3724" s="4">
        <v>46063.473391203705</v>
      </c>
      <c r="I3724" s="5">
        <v>1</v>
      </c>
      <c r="J3724" s="4">
        <v>46063.366574074076</v>
      </c>
    </row>
    <row r="3725" spans="1:10" x14ac:dyDescent="0.2">
      <c r="A3725" s="2" t="s">
        <v>10</v>
      </c>
      <c r="B3725" s="3" t="str">
        <f t="shared" si="69"/>
        <v>France - Opt In Email Aug 25 v2</v>
      </c>
      <c r="C3725" s="3" t="str">
        <f>HYPERLINK("https://otsuka-europe-crm.veevavault.com/ui/#object/sent_email__v/VBL00000001B376", "SE-001403604")</f>
        <v>SE-001403604</v>
      </c>
      <c r="D3725" s="4" t="s">
        <v>11</v>
      </c>
      <c r="E3725" s="5">
        <v>0</v>
      </c>
      <c r="F3725" s="5">
        <v>0</v>
      </c>
      <c r="G3725" s="5">
        <v>0</v>
      </c>
      <c r="H3725" s="4" t="s">
        <v>11</v>
      </c>
      <c r="I3725" s="5">
        <v>0</v>
      </c>
      <c r="J3725" s="4">
        <v>46063.368275462963</v>
      </c>
    </row>
    <row r="3726" spans="1:10" x14ac:dyDescent="0.2">
      <c r="A3726" s="2" t="s">
        <v>10</v>
      </c>
      <c r="B3726" s="3" t="str">
        <f t="shared" si="69"/>
        <v>France - Opt In Email Aug 25 v2</v>
      </c>
      <c r="C3726" s="3" t="str">
        <f>HYPERLINK("https://otsuka-europe-crm.veevavault.com/ui/#object/sent_email__v/VBL00000001B378", "SE-001403606")</f>
        <v>SE-001403606</v>
      </c>
      <c r="D3726" s="4">
        <v>46063.373333333337</v>
      </c>
      <c r="E3726" s="5">
        <v>1</v>
      </c>
      <c r="F3726" s="5">
        <v>2</v>
      </c>
      <c r="G3726" s="5">
        <v>1</v>
      </c>
      <c r="H3726" s="4">
        <v>46063.373599537037</v>
      </c>
      <c r="I3726" s="5">
        <v>1</v>
      </c>
      <c r="J3726" s="4">
        <v>46063.370081018518</v>
      </c>
    </row>
    <row r="3727" spans="1:10" x14ac:dyDescent="0.2">
      <c r="A3727" s="2" t="s">
        <v>10</v>
      </c>
      <c r="B3727" s="3" t="str">
        <f t="shared" si="69"/>
        <v>France - Opt In Email Aug 25 v2</v>
      </c>
      <c r="C3727" s="3" t="str">
        <f>HYPERLINK("https://otsuka-europe-crm.veevavault.com/ui/#object/sent_email__v/VBL00000001B380", "SE-001403608")</f>
        <v>SE-001403608</v>
      </c>
      <c r="D3727" s="4">
        <v>46063.453148148146</v>
      </c>
      <c r="E3727" s="5">
        <v>1</v>
      </c>
      <c r="F3727" s="5">
        <v>1</v>
      </c>
      <c r="G3727" s="5">
        <v>1</v>
      </c>
      <c r="H3727" s="4">
        <v>46063.456631944442</v>
      </c>
      <c r="I3727" s="5">
        <v>2</v>
      </c>
      <c r="J3727" s="4">
        <v>46063.371562499997</v>
      </c>
    </row>
    <row r="3728" spans="1:10" x14ac:dyDescent="0.2">
      <c r="A3728" s="2" t="s">
        <v>10</v>
      </c>
      <c r="B3728" s="3" t="str">
        <f t="shared" si="69"/>
        <v>France - Opt In Email Aug 25 v2</v>
      </c>
      <c r="C3728" s="3" t="str">
        <f>HYPERLINK("https://otsuka-europe-crm.veevavault.com/ui/#object/sent_email__v/VBL00000001B382", "SE-001403610")</f>
        <v>SE-001403610</v>
      </c>
      <c r="D3728" s="4">
        <v>46065.402303240742</v>
      </c>
      <c r="E3728" s="5">
        <v>1</v>
      </c>
      <c r="F3728" s="5">
        <v>2</v>
      </c>
      <c r="G3728" s="5">
        <v>1</v>
      </c>
      <c r="H3728" s="4">
        <v>46063.373344907406</v>
      </c>
      <c r="I3728" s="5">
        <v>2</v>
      </c>
      <c r="J3728" s="4">
        <v>46063.37290509259</v>
      </c>
    </row>
    <row r="3729" spans="1:10" x14ac:dyDescent="0.2">
      <c r="A3729" s="2" t="s">
        <v>10</v>
      </c>
      <c r="B3729" s="3" t="str">
        <f t="shared" si="69"/>
        <v>France - Opt In Email Aug 25 v2</v>
      </c>
      <c r="C3729" s="3" t="str">
        <f>HYPERLINK("https://otsuka-europe-crm.veevavault.com/ui/#object/sent_email__v/VBL00000001C327", "SE-001403612")</f>
        <v>SE-001403612</v>
      </c>
      <c r="D3729" s="4" t="s">
        <v>11</v>
      </c>
      <c r="E3729" s="5">
        <v>0</v>
      </c>
      <c r="F3729" s="5">
        <v>0</v>
      </c>
      <c r="G3729" s="5">
        <v>0</v>
      </c>
      <c r="H3729" s="4" t="s">
        <v>11</v>
      </c>
      <c r="I3729" s="5">
        <v>0</v>
      </c>
      <c r="J3729" s="4">
        <v>46063.374560185184</v>
      </c>
    </row>
    <row r="3730" spans="1:10" x14ac:dyDescent="0.2">
      <c r="A3730" s="2" t="s">
        <v>10</v>
      </c>
      <c r="B3730" s="3" t="str">
        <f t="shared" si="69"/>
        <v>France - Opt In Email Aug 25 v2</v>
      </c>
      <c r="C3730" s="3" t="str">
        <f>HYPERLINK("https://otsuka-europe-crm.veevavault.com/ui/#object/sent_email__v/VBL00000001C329", "SE-001403614")</f>
        <v>SE-001403614</v>
      </c>
      <c r="D3730" s="4">
        <v>46063.545405092591</v>
      </c>
      <c r="E3730" s="5">
        <v>1</v>
      </c>
      <c r="F3730" s="5">
        <v>1</v>
      </c>
      <c r="G3730" s="5">
        <v>1</v>
      </c>
      <c r="H3730" s="4">
        <v>46063.545405092591</v>
      </c>
      <c r="I3730" s="5">
        <v>1</v>
      </c>
      <c r="J3730" s="4">
        <v>46063.375787037039</v>
      </c>
    </row>
    <row r="3731" spans="1:10" x14ac:dyDescent="0.2">
      <c r="A3731" s="2" t="s">
        <v>10</v>
      </c>
      <c r="B3731" s="3" t="str">
        <f t="shared" si="69"/>
        <v>France - Opt In Email Aug 25 v2</v>
      </c>
      <c r="C3731" s="3" t="str">
        <f>HYPERLINK("https://otsuka-europe-crm.veevavault.com/ui/#object/sent_email__v/VBL00000001B384", "SE-001403618")</f>
        <v>SE-001403618</v>
      </c>
      <c r="D3731" s="4" t="s">
        <v>11</v>
      </c>
      <c r="E3731" s="5">
        <v>0</v>
      </c>
      <c r="F3731" s="5">
        <v>0</v>
      </c>
      <c r="G3731" s="5">
        <v>0</v>
      </c>
      <c r="H3731" s="4" t="s">
        <v>11</v>
      </c>
      <c r="I3731" s="5">
        <v>0</v>
      </c>
      <c r="J3731" s="4">
        <v>46063.379120370373</v>
      </c>
    </row>
    <row r="3732" spans="1:10" x14ac:dyDescent="0.2">
      <c r="A3732" s="2" t="s">
        <v>10</v>
      </c>
      <c r="B3732" s="3" t="str">
        <f t="shared" si="69"/>
        <v>France - Opt In Email Aug 25 v2</v>
      </c>
      <c r="C3732" s="3" t="str">
        <f>HYPERLINK("https://otsuka-europe-crm.veevavault.com/ui/#object/sent_email__v/VBL00000001B386", "SE-001403620")</f>
        <v>SE-001403620</v>
      </c>
      <c r="D3732" s="4" t="s">
        <v>11</v>
      </c>
      <c r="E3732" s="5">
        <v>0</v>
      </c>
      <c r="F3732" s="5">
        <v>0</v>
      </c>
      <c r="G3732" s="5">
        <v>0</v>
      </c>
      <c r="H3732" s="4" t="s">
        <v>11</v>
      </c>
      <c r="I3732" s="5">
        <v>0</v>
      </c>
      <c r="J3732" s="4">
        <v>46063.380590277775</v>
      </c>
    </row>
    <row r="3733" spans="1:10" x14ac:dyDescent="0.2">
      <c r="A3733" s="2" t="s">
        <v>10</v>
      </c>
      <c r="B3733" s="3" t="str">
        <f t="shared" si="69"/>
        <v>France - Opt In Email Aug 25 v2</v>
      </c>
      <c r="C3733" s="3" t="str">
        <f>HYPERLINK("https://otsuka-europe-crm.veevavault.com/ui/#object/sent_email__v/VBL00000001C333", "SE-001403622")</f>
        <v>SE-001403622</v>
      </c>
      <c r="D3733" s="4" t="s">
        <v>11</v>
      </c>
      <c r="E3733" s="5">
        <v>0</v>
      </c>
      <c r="F3733" s="5">
        <v>0</v>
      </c>
      <c r="G3733" s="5">
        <v>0</v>
      </c>
      <c r="H3733" s="4" t="s">
        <v>11</v>
      </c>
      <c r="I3733" s="5">
        <v>0</v>
      </c>
      <c r="J3733" s="4">
        <v>46063.382094907407</v>
      </c>
    </row>
    <row r="3734" spans="1:10" x14ac:dyDescent="0.2">
      <c r="A3734" s="2" t="s">
        <v>10</v>
      </c>
      <c r="B3734" s="3" t="str">
        <f t="shared" si="69"/>
        <v>France - Opt In Email Aug 25 v2</v>
      </c>
      <c r="C3734" s="3" t="str">
        <f>HYPERLINK("https://otsuka-europe-crm.veevavault.com/ui/#object/sent_email__v/VBL00000001C335", "SE-001403624")</f>
        <v>SE-001403624</v>
      </c>
      <c r="D3734" s="4">
        <v>46063.383750000001</v>
      </c>
      <c r="E3734" s="5">
        <v>1</v>
      </c>
      <c r="F3734" s="5">
        <v>1</v>
      </c>
      <c r="G3734" s="5">
        <v>1</v>
      </c>
      <c r="H3734" s="4">
        <v>46063.439884259256</v>
      </c>
      <c r="I3734" s="5">
        <v>1</v>
      </c>
      <c r="J3734" s="4">
        <v>46063.383425925924</v>
      </c>
    </row>
    <row r="3735" spans="1:10" x14ac:dyDescent="0.2">
      <c r="A3735" s="2" t="s">
        <v>10</v>
      </c>
      <c r="B3735" s="3" t="str">
        <f t="shared" si="69"/>
        <v>France - Opt In Email Aug 25 v2</v>
      </c>
      <c r="C3735" s="3" t="str">
        <f>HYPERLINK("https://otsuka-europe-crm.veevavault.com/ui/#object/sent_email__v/VBL00000001B388", "SE-001403627")</f>
        <v>SE-001403627</v>
      </c>
      <c r="D3735" s="4" t="s">
        <v>11</v>
      </c>
      <c r="E3735" s="5">
        <v>0</v>
      </c>
      <c r="F3735" s="5">
        <v>0</v>
      </c>
      <c r="G3735" s="5">
        <v>0</v>
      </c>
      <c r="H3735" s="4" t="s">
        <v>11</v>
      </c>
      <c r="I3735" s="5">
        <v>0</v>
      </c>
      <c r="J3735" s="4">
        <v>46063.385393518518</v>
      </c>
    </row>
    <row r="3736" spans="1:10" x14ac:dyDescent="0.2">
      <c r="A3736" s="2" t="s">
        <v>10</v>
      </c>
      <c r="B3736" s="3" t="str">
        <f t="shared" si="69"/>
        <v>France - Opt In Email Aug 25 v2</v>
      </c>
      <c r="C3736" s="3" t="str">
        <f>HYPERLINK("https://otsuka-europe-crm.veevavault.com/ui/#object/sent_email__v/VBL00000001B390", "SE-001403629")</f>
        <v>SE-001403629</v>
      </c>
      <c r="D3736" s="4" t="s">
        <v>11</v>
      </c>
      <c r="E3736" s="5">
        <v>0</v>
      </c>
      <c r="F3736" s="5">
        <v>0</v>
      </c>
      <c r="G3736" s="5">
        <v>0</v>
      </c>
      <c r="H3736" s="4" t="s">
        <v>11</v>
      </c>
      <c r="I3736" s="5">
        <v>0</v>
      </c>
      <c r="J3736" s="4">
        <v>46063.387118055558</v>
      </c>
    </row>
    <row r="3737" spans="1:10" x14ac:dyDescent="0.2">
      <c r="A3737" s="2" t="s">
        <v>10</v>
      </c>
      <c r="B3737" s="3" t="str">
        <f t="shared" si="69"/>
        <v>France - Opt In Email Aug 25 v2</v>
      </c>
      <c r="C3737" s="3" t="str">
        <f>HYPERLINK("https://otsuka-europe-crm.veevavault.com/ui/#object/sent_email__v/VBL00000001C338", "SE-001403632")</f>
        <v>SE-001403632</v>
      </c>
      <c r="D3737" s="4">
        <v>46063.402685185189</v>
      </c>
      <c r="E3737" s="5">
        <v>1</v>
      </c>
      <c r="F3737" s="5">
        <v>1</v>
      </c>
      <c r="G3737" s="5">
        <v>1</v>
      </c>
      <c r="H3737" s="4">
        <v>46063.403298611112</v>
      </c>
      <c r="I3737" s="5">
        <v>5</v>
      </c>
      <c r="J3737" s="4">
        <v>46063.395914351851</v>
      </c>
    </row>
    <row r="3738" spans="1:10" x14ac:dyDescent="0.2">
      <c r="A3738" s="2" t="s">
        <v>10</v>
      </c>
      <c r="B3738" s="3" t="str">
        <f t="shared" si="69"/>
        <v>France - Opt In Email Aug 25 v2</v>
      </c>
      <c r="C3738" s="3" t="str">
        <f>HYPERLINK("https://otsuka-europe-crm.veevavault.com/ui/#object/sent_email__v/VBL00000001C341", "SE-001403635")</f>
        <v>SE-001403635</v>
      </c>
      <c r="D3738" s="4">
        <v>46064.602534722224</v>
      </c>
      <c r="E3738" s="5">
        <v>1</v>
      </c>
      <c r="F3738" s="5">
        <v>2</v>
      </c>
      <c r="G3738" s="5">
        <v>1</v>
      </c>
      <c r="H3738" s="4">
        <v>46064.602534722224</v>
      </c>
      <c r="I3738" s="5">
        <v>1</v>
      </c>
      <c r="J3738" s="4">
        <v>46063.403969907406</v>
      </c>
    </row>
    <row r="3739" spans="1:10" x14ac:dyDescent="0.2">
      <c r="A3739" s="2" t="s">
        <v>10</v>
      </c>
      <c r="B3739" s="3" t="str">
        <f t="shared" si="69"/>
        <v>France - Opt In Email Aug 25 v2</v>
      </c>
      <c r="C3739" s="3" t="str">
        <f>HYPERLINK("https://otsuka-europe-crm.veevavault.com/ui/#object/sent_email__v/VBL00000001B394", "SE-001403638")</f>
        <v>SE-001403638</v>
      </c>
      <c r="D3739" s="4" t="s">
        <v>11</v>
      </c>
      <c r="E3739" s="5">
        <v>0</v>
      </c>
      <c r="F3739" s="5">
        <v>0</v>
      </c>
      <c r="G3739" s="5">
        <v>0</v>
      </c>
      <c r="H3739" s="4" t="s">
        <v>11</v>
      </c>
      <c r="I3739" s="5">
        <v>0</v>
      </c>
      <c r="J3739" s="4">
        <v>46063.406331018516</v>
      </c>
    </row>
    <row r="3740" spans="1:10" x14ac:dyDescent="0.2">
      <c r="A3740" s="2" t="s">
        <v>10</v>
      </c>
      <c r="B3740" s="3" t="str">
        <f t="shared" si="69"/>
        <v>France - Opt In Email Aug 25 v2</v>
      </c>
      <c r="C3740" s="3" t="str">
        <f>HYPERLINK("https://otsuka-europe-crm.veevavault.com/ui/#object/sent_email__v/VBL00000001B417", "SE-001403668")</f>
        <v>SE-001403668</v>
      </c>
      <c r="D3740" s="4">
        <v>46064.304837962962</v>
      </c>
      <c r="E3740" s="5">
        <v>1</v>
      </c>
      <c r="F3740" s="5">
        <v>1</v>
      </c>
      <c r="G3740" s="5">
        <v>1</v>
      </c>
      <c r="H3740" s="4">
        <v>46065.38181712963</v>
      </c>
      <c r="I3740" s="5">
        <v>2</v>
      </c>
      <c r="J3740" s="4">
        <v>46063.851180555554</v>
      </c>
    </row>
    <row r="3741" spans="1:10" x14ac:dyDescent="0.2">
      <c r="A3741" s="2" t="s">
        <v>10</v>
      </c>
      <c r="B3741" s="3" t="str">
        <f t="shared" si="69"/>
        <v>France - Opt In Email Aug 25 v2</v>
      </c>
      <c r="C3741" s="3" t="str">
        <f>HYPERLINK("https://otsuka-europe-crm.veevavault.com/ui/#object/sent_email__v/VBL00000001B493", "SE-001403824")</f>
        <v>SE-001403824</v>
      </c>
      <c r="D3741" s="4">
        <v>46069.386331018519</v>
      </c>
      <c r="E3741" s="5">
        <v>1</v>
      </c>
      <c r="F3741" s="5">
        <v>1</v>
      </c>
      <c r="G3741" s="5">
        <v>1</v>
      </c>
      <c r="H3741" s="4">
        <v>46069.386331018519</v>
      </c>
      <c r="I3741" s="5">
        <v>1</v>
      </c>
      <c r="J3741" s="4">
        <v>46065.383692129632</v>
      </c>
    </row>
    <row r="3742" spans="1:10" x14ac:dyDescent="0.2">
      <c r="A3742" s="2" t="s">
        <v>10</v>
      </c>
      <c r="B3742" s="3" t="str">
        <f t="shared" si="69"/>
        <v>France - Opt In Email Aug 25 v2</v>
      </c>
      <c r="C3742" s="3" t="str">
        <f>HYPERLINK("https://otsuka-europe-crm.veevavault.com/ui/#object/sent_email__v/VBL00000001D055", "SE-001404133")</f>
        <v>SE-001404133</v>
      </c>
      <c r="D3742" s="4" t="s">
        <v>11</v>
      </c>
      <c r="E3742" s="5">
        <v>0</v>
      </c>
      <c r="F3742" s="5">
        <v>0</v>
      </c>
      <c r="G3742" s="5">
        <v>0</v>
      </c>
      <c r="H3742" s="4" t="s">
        <v>11</v>
      </c>
      <c r="I3742" s="5">
        <v>0</v>
      </c>
      <c r="J3742" s="4">
        <v>46069.459837962961</v>
      </c>
    </row>
    <row r="3743" spans="1:10" x14ac:dyDescent="0.2">
      <c r="A3743" s="2" t="s">
        <v>10</v>
      </c>
      <c r="B3743" s="3" t="str">
        <f t="shared" si="69"/>
        <v>France - Opt In Email Aug 25 v2</v>
      </c>
      <c r="C3743" s="3" t="str">
        <f>HYPERLINK("https://otsuka-europe-crm.veevavault.com/ui/#object/sent_email__v/VBL00000001D057", "SE-001404135")</f>
        <v>SE-001404135</v>
      </c>
      <c r="D3743" s="4" t="s">
        <v>11</v>
      </c>
      <c r="E3743" s="5">
        <v>0</v>
      </c>
      <c r="F3743" s="5">
        <v>0</v>
      </c>
      <c r="G3743" s="5">
        <v>0</v>
      </c>
      <c r="H3743" s="4" t="s">
        <v>11</v>
      </c>
      <c r="I3743" s="5">
        <v>0</v>
      </c>
      <c r="J3743" s="4">
        <v>46069.461886574078</v>
      </c>
    </row>
    <row r="3744" spans="1:10" x14ac:dyDescent="0.2">
      <c r="A3744" s="2" t="s">
        <v>10</v>
      </c>
      <c r="B3744" s="3" t="str">
        <f t="shared" si="69"/>
        <v>France - Opt In Email Aug 25 v2</v>
      </c>
      <c r="C3744" s="3" t="str">
        <f>HYPERLINK("https://otsuka-europe-crm.veevavault.com/ui/#object/sent_email__v/VBL00000001D059", "SE-001404137")</f>
        <v>SE-001404137</v>
      </c>
      <c r="D3744" s="4" t="s">
        <v>11</v>
      </c>
      <c r="E3744" s="5">
        <v>0</v>
      </c>
      <c r="F3744" s="5">
        <v>0</v>
      </c>
      <c r="G3744" s="5">
        <v>0</v>
      </c>
      <c r="H3744" s="4" t="s">
        <v>11</v>
      </c>
      <c r="I3744" s="5">
        <v>0</v>
      </c>
      <c r="J3744" s="4">
        <v>46069.463055555556</v>
      </c>
    </row>
    <row r="3745" spans="1:10" x14ac:dyDescent="0.2">
      <c r="A3745" s="2" t="s">
        <v>10</v>
      </c>
      <c r="B3745" s="3" t="str">
        <f t="shared" si="69"/>
        <v>France - Opt In Email Aug 25 v2</v>
      </c>
      <c r="C3745" s="3" t="str">
        <f>HYPERLINK("https://otsuka-europe-crm.veevavault.com/ui/#object/sent_email__v/VBL00000001D062", "SE-001404140")</f>
        <v>SE-001404140</v>
      </c>
      <c r="D3745" s="4">
        <v>46077.896412037036</v>
      </c>
      <c r="E3745" s="5">
        <v>1</v>
      </c>
      <c r="F3745" s="5">
        <v>2</v>
      </c>
      <c r="G3745" s="5">
        <v>1</v>
      </c>
      <c r="H3745" s="4">
        <v>46077.896689814814</v>
      </c>
      <c r="I3745" s="5">
        <v>2</v>
      </c>
      <c r="J3745" s="4">
        <v>46069.46497685185</v>
      </c>
    </row>
    <row r="3746" spans="1:10" x14ac:dyDescent="0.2">
      <c r="A3746" s="2" t="s">
        <v>10</v>
      </c>
      <c r="B3746" s="3" t="str">
        <f t="shared" si="69"/>
        <v>France - Opt In Email Aug 25 v2</v>
      </c>
      <c r="C3746" s="3" t="str">
        <f>HYPERLINK("https://otsuka-europe-crm.veevavault.com/ui/#object/sent_email__v/VBL00000001D064", "SE-001404142")</f>
        <v>SE-001404142</v>
      </c>
      <c r="D3746" s="4">
        <v>46069.597777777781</v>
      </c>
      <c r="E3746" s="5">
        <v>1</v>
      </c>
      <c r="F3746" s="5">
        <v>1</v>
      </c>
      <c r="G3746" s="5">
        <v>1</v>
      </c>
      <c r="H3746" s="4">
        <v>46069.597777777781</v>
      </c>
      <c r="I3746" s="5">
        <v>1</v>
      </c>
      <c r="J3746" s="4">
        <v>46069.466319444444</v>
      </c>
    </row>
    <row r="3747" spans="1:10" x14ac:dyDescent="0.2">
      <c r="A3747" s="2" t="s">
        <v>10</v>
      </c>
      <c r="B3747" s="3" t="str">
        <f t="shared" ref="B3747:B3791" si="70">HYPERLINK("https://otsuka-europe-crm.veevavault.com/ui/#object/approved_document__v/V5OZ025E82LNZEE", "Invitation RP Perspective(s)")</f>
        <v>Invitation RP Perspective(s)</v>
      </c>
      <c r="C3747" s="3" t="str">
        <f>HYPERLINK("https://otsuka-europe-crm.veevavault.com/ui/#object/sent_email__v/VBLZ025E82GC355", "SE-000254918")</f>
        <v>SE-000254918</v>
      </c>
      <c r="D3747" s="4">
        <v>45901.599814814814</v>
      </c>
      <c r="E3747" s="5">
        <v>1</v>
      </c>
      <c r="F3747" s="5">
        <v>1</v>
      </c>
      <c r="G3747" s="5">
        <v>0</v>
      </c>
      <c r="H3747" s="4" t="s">
        <v>11</v>
      </c>
      <c r="I3747" s="5">
        <v>0</v>
      </c>
      <c r="J3747" s="4">
        <v>45901.599675925929</v>
      </c>
    </row>
    <row r="3748" spans="1:10" x14ac:dyDescent="0.2">
      <c r="A3748" s="2" t="s">
        <v>10</v>
      </c>
      <c r="B3748" s="3" t="str">
        <f t="shared" si="70"/>
        <v>Invitation RP Perspective(s)</v>
      </c>
      <c r="C3748" s="3" t="str">
        <f>HYPERLINK("https://otsuka-europe-crm.veevavault.com/ui/#object/sent_email__v/VBLZ025E82GC37X", "SE-000254919")</f>
        <v>SE-000254919</v>
      </c>
      <c r="D3748" s="4" t="s">
        <v>11</v>
      </c>
      <c r="E3748" s="5">
        <v>0</v>
      </c>
      <c r="F3748" s="5">
        <v>0</v>
      </c>
      <c r="G3748" s="5">
        <v>0</v>
      </c>
      <c r="H3748" s="4" t="s">
        <v>11</v>
      </c>
      <c r="I3748" s="5">
        <v>0</v>
      </c>
      <c r="J3748" s="4">
        <v>45901.600335648145</v>
      </c>
    </row>
    <row r="3749" spans="1:10" x14ac:dyDescent="0.2">
      <c r="A3749" s="2" t="s">
        <v>10</v>
      </c>
      <c r="B3749" s="3" t="str">
        <f t="shared" si="70"/>
        <v>Invitation RP Perspective(s)</v>
      </c>
      <c r="C3749" s="3" t="str">
        <f>HYPERLINK("https://otsuka-europe-crm.veevavault.com/ui/#object/sent_email__v/VBLZ025E82GC3AP", "SE-000254920")</f>
        <v>SE-000254920</v>
      </c>
      <c r="D3749" s="4">
        <v>45981.394456018519</v>
      </c>
      <c r="E3749" s="5">
        <v>1</v>
      </c>
      <c r="F3749" s="5">
        <v>1</v>
      </c>
      <c r="G3749" s="5">
        <v>0</v>
      </c>
      <c r="H3749" s="4" t="s">
        <v>11</v>
      </c>
      <c r="I3749" s="5">
        <v>0</v>
      </c>
      <c r="J3749" s="4">
        <v>45901.601365740738</v>
      </c>
    </row>
    <row r="3750" spans="1:10" x14ac:dyDescent="0.2">
      <c r="A3750" s="2" t="s">
        <v>10</v>
      </c>
      <c r="B3750" s="3" t="str">
        <f t="shared" si="70"/>
        <v>Invitation RP Perspective(s)</v>
      </c>
      <c r="C3750" s="3" t="str">
        <f>HYPERLINK("https://otsuka-europe-crm.veevavault.com/ui/#object/sent_email__v/VBLZ025E82GC3G9", "SE-000254921")</f>
        <v>SE-000254921</v>
      </c>
      <c r="D3750" s="4" t="s">
        <v>11</v>
      </c>
      <c r="E3750" s="5">
        <v>0</v>
      </c>
      <c r="F3750" s="5">
        <v>0</v>
      </c>
      <c r="G3750" s="5">
        <v>0</v>
      </c>
      <c r="H3750" s="4" t="s">
        <v>11</v>
      </c>
      <c r="I3750" s="5">
        <v>0</v>
      </c>
      <c r="J3750" s="4">
        <v>45901.602060185185</v>
      </c>
    </row>
    <row r="3751" spans="1:10" x14ac:dyDescent="0.2">
      <c r="A3751" s="2" t="s">
        <v>10</v>
      </c>
      <c r="B3751" s="3" t="str">
        <f t="shared" si="70"/>
        <v>Invitation RP Perspective(s)</v>
      </c>
      <c r="C3751" s="3" t="str">
        <f>HYPERLINK("https://otsuka-europe-crm.veevavault.com/ui/#object/sent_email__v/VBLZ025E82GC3J1", "SE-000254922")</f>
        <v>SE-000254922</v>
      </c>
      <c r="D3751" s="4">
        <v>45901.635300925926</v>
      </c>
      <c r="E3751" s="5">
        <v>1</v>
      </c>
      <c r="F3751" s="5">
        <v>1</v>
      </c>
      <c r="G3751" s="5">
        <v>0</v>
      </c>
      <c r="H3751" s="4" t="s">
        <v>11</v>
      </c>
      <c r="I3751" s="5">
        <v>0</v>
      </c>
      <c r="J3751" s="4">
        <v>45901.602858796294</v>
      </c>
    </row>
    <row r="3752" spans="1:10" x14ac:dyDescent="0.2">
      <c r="A3752" s="2" t="s">
        <v>10</v>
      </c>
      <c r="B3752" s="3" t="str">
        <f t="shared" si="70"/>
        <v>Invitation RP Perspective(s)</v>
      </c>
      <c r="C3752" s="3" t="str">
        <f>HYPERLINK("https://otsuka-europe-crm.veevavault.com/ui/#object/sent_email__v/VBLZ025E82GJG19", "SE-000255655")</f>
        <v>SE-000255655</v>
      </c>
      <c r="D3752" s="4" t="s">
        <v>11</v>
      </c>
      <c r="E3752" s="5">
        <v>0</v>
      </c>
      <c r="F3752" s="5">
        <v>0</v>
      </c>
      <c r="G3752" s="5">
        <v>0</v>
      </c>
      <c r="H3752" s="4" t="s">
        <v>11</v>
      </c>
      <c r="I3752" s="5">
        <v>0</v>
      </c>
      <c r="J3752" s="4">
        <v>45910.337939814817</v>
      </c>
    </row>
    <row r="3753" spans="1:10" x14ac:dyDescent="0.2">
      <c r="A3753" s="2" t="s">
        <v>10</v>
      </c>
      <c r="B3753" s="3" t="str">
        <f t="shared" si="70"/>
        <v>Invitation RP Perspective(s)</v>
      </c>
      <c r="C3753" s="3" t="str">
        <f>HYPERLINK("https://otsuka-europe-crm.veevavault.com/ui/#object/sent_email__v/VBLZ025E82GJGCD", "SE-000255658")</f>
        <v>SE-000255658</v>
      </c>
      <c r="D3753" s="4" t="s">
        <v>11</v>
      </c>
      <c r="E3753" s="5">
        <v>0</v>
      </c>
      <c r="F3753" s="5">
        <v>0</v>
      </c>
      <c r="G3753" s="5">
        <v>0</v>
      </c>
      <c r="H3753" s="4" t="s">
        <v>11</v>
      </c>
      <c r="I3753" s="5">
        <v>0</v>
      </c>
      <c r="J3753" s="4">
        <v>45910.339837962965</v>
      </c>
    </row>
    <row r="3754" spans="1:10" x14ac:dyDescent="0.2">
      <c r="A3754" s="2" t="s">
        <v>10</v>
      </c>
      <c r="B3754" s="3" t="str">
        <f t="shared" si="70"/>
        <v>Invitation RP Perspective(s)</v>
      </c>
      <c r="C3754" s="3" t="str">
        <f>HYPERLINK("https://otsuka-europe-crm.veevavault.com/ui/#object/sent_email__v/VBLZ025E82GJGHX", "SE-000255660")</f>
        <v>SE-000255660</v>
      </c>
      <c r="D3754" s="4" t="s">
        <v>11</v>
      </c>
      <c r="E3754" s="5">
        <v>0</v>
      </c>
      <c r="F3754" s="5">
        <v>0</v>
      </c>
      <c r="G3754" s="5">
        <v>0</v>
      </c>
      <c r="H3754" s="4" t="s">
        <v>11</v>
      </c>
      <c r="I3754" s="5">
        <v>0</v>
      </c>
      <c r="J3754" s="4">
        <v>45910.340810185182</v>
      </c>
    </row>
    <row r="3755" spans="1:10" x14ac:dyDescent="0.2">
      <c r="A3755" s="2" t="s">
        <v>10</v>
      </c>
      <c r="B3755" s="3" t="str">
        <f t="shared" si="70"/>
        <v>Invitation RP Perspective(s)</v>
      </c>
      <c r="C3755" s="3" t="str">
        <f>HYPERLINK("https://otsuka-europe-crm.veevavault.com/ui/#object/sent_email__v/VBLZ025E82GJFHU", "SE-000255663")</f>
        <v>SE-000255663</v>
      </c>
      <c r="D3755" s="4" t="s">
        <v>11</v>
      </c>
      <c r="E3755" s="5">
        <v>0</v>
      </c>
      <c r="F3755" s="5">
        <v>0</v>
      </c>
      <c r="G3755" s="5">
        <v>0</v>
      </c>
      <c r="H3755" s="4" t="s">
        <v>11</v>
      </c>
      <c r="I3755" s="5">
        <v>0</v>
      </c>
      <c r="J3755" s="4">
        <v>45910.342118055552</v>
      </c>
    </row>
    <row r="3756" spans="1:10" x14ac:dyDescent="0.2">
      <c r="A3756" s="2" t="s">
        <v>10</v>
      </c>
      <c r="B3756" s="3" t="str">
        <f t="shared" si="70"/>
        <v>Invitation RP Perspective(s)</v>
      </c>
      <c r="C3756" s="3" t="str">
        <f>HYPERLINK("https://otsuka-europe-crm.veevavault.com/ui/#object/sent_email__v/VBLZ025E82GJGT1", "SE-000255665")</f>
        <v>SE-000255665</v>
      </c>
      <c r="D3756" s="4" t="s">
        <v>11</v>
      </c>
      <c r="E3756" s="5">
        <v>0</v>
      </c>
      <c r="F3756" s="5">
        <v>0</v>
      </c>
      <c r="G3756" s="5">
        <v>0</v>
      </c>
      <c r="H3756" s="4" t="s">
        <v>11</v>
      </c>
      <c r="I3756" s="5">
        <v>0</v>
      </c>
      <c r="J3756" s="4">
        <v>45910.342916666668</v>
      </c>
    </row>
    <row r="3757" spans="1:10" x14ac:dyDescent="0.2">
      <c r="A3757" s="2" t="s">
        <v>10</v>
      </c>
      <c r="B3757" s="3" t="str">
        <f t="shared" si="70"/>
        <v>Invitation RP Perspective(s)</v>
      </c>
      <c r="C3757" s="3" t="str">
        <f>HYPERLINK("https://otsuka-europe-crm.veevavault.com/ui/#object/sent_email__v/VBLZ025E82GJGVT", "SE-000255666")</f>
        <v>SE-000255666</v>
      </c>
      <c r="D3757" s="4" t="s">
        <v>11</v>
      </c>
      <c r="E3757" s="5">
        <v>0</v>
      </c>
      <c r="F3757" s="5">
        <v>0</v>
      </c>
      <c r="G3757" s="5">
        <v>0</v>
      </c>
      <c r="H3757" s="4" t="s">
        <v>11</v>
      </c>
      <c r="I3757" s="5">
        <v>0</v>
      </c>
      <c r="J3757" s="4">
        <v>45910.343773148146</v>
      </c>
    </row>
    <row r="3758" spans="1:10" x14ac:dyDescent="0.2">
      <c r="A3758" s="2" t="s">
        <v>10</v>
      </c>
      <c r="B3758" s="3" t="str">
        <f t="shared" si="70"/>
        <v>Invitation RP Perspective(s)</v>
      </c>
      <c r="C3758" s="3" t="str">
        <f>HYPERLINK("https://otsuka-europe-crm.veevavault.com/ui/#object/sent_email__v/VBLZ025E82GJH1D", "SE-000255668")</f>
        <v>SE-000255668</v>
      </c>
      <c r="D3758" s="4" t="s">
        <v>11</v>
      </c>
      <c r="E3758" s="5">
        <v>0</v>
      </c>
      <c r="F3758" s="5">
        <v>0</v>
      </c>
      <c r="G3758" s="5">
        <v>0</v>
      </c>
      <c r="H3758" s="4" t="s">
        <v>11</v>
      </c>
      <c r="I3758" s="5">
        <v>0</v>
      </c>
      <c r="J3758" s="4">
        <v>45910.346608796295</v>
      </c>
    </row>
    <row r="3759" spans="1:10" x14ac:dyDescent="0.2">
      <c r="A3759" s="2" t="s">
        <v>10</v>
      </c>
      <c r="B3759" s="3" t="str">
        <f t="shared" si="70"/>
        <v>Invitation RP Perspective(s)</v>
      </c>
      <c r="C3759" s="3" t="str">
        <f>HYPERLINK("https://otsuka-europe-crm.veevavault.com/ui/#object/sent_email__v/VBLZ025E82GJJYX", "SE-000255680")</f>
        <v>SE-000255680</v>
      </c>
      <c r="D3759" s="4" t="s">
        <v>11</v>
      </c>
      <c r="E3759" s="5">
        <v>0</v>
      </c>
      <c r="F3759" s="5">
        <v>0</v>
      </c>
      <c r="G3759" s="5">
        <v>0</v>
      </c>
      <c r="H3759" s="4" t="s">
        <v>11</v>
      </c>
      <c r="I3759" s="5">
        <v>0</v>
      </c>
      <c r="J3759" s="4">
        <v>45910.389976851853</v>
      </c>
    </row>
    <row r="3760" spans="1:10" x14ac:dyDescent="0.2">
      <c r="A3760" s="2" t="s">
        <v>10</v>
      </c>
      <c r="B3760" s="3" t="str">
        <f t="shared" si="70"/>
        <v>Invitation RP Perspective(s)</v>
      </c>
      <c r="C3760" s="3" t="str">
        <f>HYPERLINK("https://otsuka-europe-crm.veevavault.com/ui/#object/sent_email__v/VBLZ025E82GJK1P", "SE-000255681")</f>
        <v>SE-000255681</v>
      </c>
      <c r="D3760" s="4">
        <v>45910.397685185184</v>
      </c>
      <c r="E3760" s="5">
        <v>1</v>
      </c>
      <c r="F3760" s="5">
        <v>1</v>
      </c>
      <c r="G3760" s="5">
        <v>0</v>
      </c>
      <c r="H3760" s="4" t="s">
        <v>11</v>
      </c>
      <c r="I3760" s="5">
        <v>0</v>
      </c>
      <c r="J3760" s="4">
        <v>45910.390960648147</v>
      </c>
    </row>
    <row r="3761" spans="1:10" x14ac:dyDescent="0.2">
      <c r="A3761" s="2" t="s">
        <v>10</v>
      </c>
      <c r="B3761" s="3" t="str">
        <f t="shared" si="70"/>
        <v>Invitation RP Perspective(s)</v>
      </c>
      <c r="C3761" s="3" t="str">
        <f>HYPERLINK("https://otsuka-europe-crm.veevavault.com/ui/#object/sent_email__v/VBLZ025E82GJK79", "SE-000255682")</f>
        <v>SE-000255682</v>
      </c>
      <c r="D3761" s="4">
        <v>45910.456030092595</v>
      </c>
      <c r="E3761" s="5">
        <v>1</v>
      </c>
      <c r="F3761" s="5">
        <v>1</v>
      </c>
      <c r="G3761" s="5">
        <v>1</v>
      </c>
      <c r="H3761" s="4">
        <v>45910.456030092595</v>
      </c>
      <c r="I3761" s="5">
        <v>1</v>
      </c>
      <c r="J3761" s="4">
        <v>45910.391875000001</v>
      </c>
    </row>
    <row r="3762" spans="1:10" x14ac:dyDescent="0.2">
      <c r="A3762" s="2" t="s">
        <v>10</v>
      </c>
      <c r="B3762" s="3" t="str">
        <f t="shared" si="70"/>
        <v>Invitation RP Perspective(s)</v>
      </c>
      <c r="C3762" s="3" t="str">
        <f>HYPERLINK("https://otsuka-europe-crm.veevavault.com/ui/#object/sent_email__v/VBLZ025E82GJKFL", "SE-000255683")</f>
        <v>SE-000255683</v>
      </c>
      <c r="D3762" s="4">
        <v>45992.639513888891</v>
      </c>
      <c r="E3762" s="5">
        <v>1</v>
      </c>
      <c r="F3762" s="5">
        <v>2</v>
      </c>
      <c r="G3762" s="5">
        <v>0</v>
      </c>
      <c r="H3762" s="4" t="s">
        <v>11</v>
      </c>
      <c r="I3762" s="5">
        <v>0</v>
      </c>
      <c r="J3762" s="4">
        <v>45910.392638888887</v>
      </c>
    </row>
    <row r="3763" spans="1:10" x14ac:dyDescent="0.2">
      <c r="A3763" s="2" t="s">
        <v>10</v>
      </c>
      <c r="B3763" s="3" t="str">
        <f t="shared" si="70"/>
        <v>Invitation RP Perspective(s)</v>
      </c>
      <c r="C3763" s="3" t="str">
        <f>HYPERLINK("https://otsuka-europe-crm.veevavault.com/ui/#object/sent_email__v/VBLZ025E82GJKL5", "SE-000255684")</f>
        <v>SE-000255684</v>
      </c>
      <c r="D3763" s="4">
        <v>45910.535486111112</v>
      </c>
      <c r="E3763" s="5">
        <v>1</v>
      </c>
      <c r="F3763" s="5">
        <v>1</v>
      </c>
      <c r="G3763" s="5">
        <v>0</v>
      </c>
      <c r="H3763" s="4" t="s">
        <v>11</v>
      </c>
      <c r="I3763" s="5">
        <v>0</v>
      </c>
      <c r="J3763" s="4">
        <v>45910.394016203703</v>
      </c>
    </row>
    <row r="3764" spans="1:10" x14ac:dyDescent="0.2">
      <c r="A3764" s="2" t="s">
        <v>10</v>
      </c>
      <c r="B3764" s="3" t="str">
        <f t="shared" si="70"/>
        <v>Invitation RP Perspective(s)</v>
      </c>
      <c r="C3764" s="3" t="str">
        <f>HYPERLINK("https://otsuka-europe-crm.veevavault.com/ui/#object/sent_email__v/VBLZ025E82GJKQP", "SE-000255685")</f>
        <v>SE-000255685</v>
      </c>
      <c r="D3764" s="4" t="s">
        <v>11</v>
      </c>
      <c r="E3764" s="5">
        <v>0</v>
      </c>
      <c r="F3764" s="5">
        <v>0</v>
      </c>
      <c r="G3764" s="5">
        <v>0</v>
      </c>
      <c r="H3764" s="4" t="s">
        <v>11</v>
      </c>
      <c r="I3764" s="5">
        <v>0</v>
      </c>
      <c r="J3764" s="4">
        <v>45910.39472222222</v>
      </c>
    </row>
    <row r="3765" spans="1:10" x14ac:dyDescent="0.2">
      <c r="A3765" s="2" t="s">
        <v>10</v>
      </c>
      <c r="B3765" s="3" t="str">
        <f t="shared" si="70"/>
        <v>Invitation RP Perspective(s)</v>
      </c>
      <c r="C3765" s="3" t="str">
        <f>HYPERLINK("https://otsuka-europe-crm.veevavault.com/ui/#object/sent_email__v/VBLZ025E82GJKTH", "SE-000255686")</f>
        <v>SE-000255686</v>
      </c>
      <c r="D3765" s="4" t="s">
        <v>11</v>
      </c>
      <c r="E3765" s="5">
        <v>0</v>
      </c>
      <c r="F3765" s="5">
        <v>0</v>
      </c>
      <c r="G3765" s="5">
        <v>0</v>
      </c>
      <c r="H3765" s="4" t="s">
        <v>11</v>
      </c>
      <c r="I3765" s="5">
        <v>0</v>
      </c>
      <c r="J3765" s="4">
        <v>45910.395775462966</v>
      </c>
    </row>
    <row r="3766" spans="1:10" x14ac:dyDescent="0.2">
      <c r="A3766" s="2" t="s">
        <v>10</v>
      </c>
      <c r="B3766" s="3" t="str">
        <f t="shared" si="70"/>
        <v>Invitation RP Perspective(s)</v>
      </c>
      <c r="C3766" s="3" t="str">
        <f>HYPERLINK("https://otsuka-europe-crm.veevavault.com/ui/#object/sent_email__v/VBLZ025E82GLFN1", "SE-000255998")</f>
        <v>SE-000255998</v>
      </c>
      <c r="D3766" s="4" t="s">
        <v>11</v>
      </c>
      <c r="E3766" s="5">
        <v>0</v>
      </c>
      <c r="F3766" s="5">
        <v>0</v>
      </c>
      <c r="G3766" s="5">
        <v>0</v>
      </c>
      <c r="H3766" s="4" t="s">
        <v>11</v>
      </c>
      <c r="I3766" s="5">
        <v>0</v>
      </c>
      <c r="J3766" s="4">
        <v>45911.69390046296</v>
      </c>
    </row>
    <row r="3767" spans="1:10" x14ac:dyDescent="0.2">
      <c r="A3767" s="2" t="s">
        <v>10</v>
      </c>
      <c r="B3767" s="3" t="str">
        <f t="shared" si="70"/>
        <v>Invitation RP Perspective(s)</v>
      </c>
      <c r="C3767" s="3" t="str">
        <f>HYPERLINK("https://otsuka-europe-crm.veevavault.com/ui/#object/sent_email__v/VBLZ025E82GLX2T", "SE-000259070")</f>
        <v>SE-000259070</v>
      </c>
      <c r="D3767" s="4">
        <v>45927.546875</v>
      </c>
      <c r="E3767" s="5">
        <v>1</v>
      </c>
      <c r="F3767" s="5">
        <v>9</v>
      </c>
      <c r="G3767" s="5">
        <v>0</v>
      </c>
      <c r="H3767" s="4" t="s">
        <v>11</v>
      </c>
      <c r="I3767" s="5">
        <v>0</v>
      </c>
      <c r="J3767" s="4">
        <v>45912.451365740744</v>
      </c>
    </row>
    <row r="3768" spans="1:10" x14ac:dyDescent="0.2">
      <c r="A3768" s="2" t="s">
        <v>10</v>
      </c>
      <c r="B3768" s="3" t="str">
        <f t="shared" si="70"/>
        <v>Invitation RP Perspective(s)</v>
      </c>
      <c r="C3768" s="3" t="str">
        <f>HYPERLINK("https://otsuka-europe-crm.veevavault.com/ui/#object/sent_email__v/VBLZ025E82GNLND", "SE-000272810")</f>
        <v>SE-000272810</v>
      </c>
      <c r="D3768" s="4" t="s">
        <v>11</v>
      </c>
      <c r="E3768" s="5">
        <v>0</v>
      </c>
      <c r="F3768" s="5">
        <v>0</v>
      </c>
      <c r="G3768" s="5">
        <v>0</v>
      </c>
      <c r="H3768" s="4" t="s">
        <v>11</v>
      </c>
      <c r="I3768" s="5">
        <v>0</v>
      </c>
      <c r="J3768" s="4">
        <v>45915.411712962959</v>
      </c>
    </row>
    <row r="3769" spans="1:10" x14ac:dyDescent="0.2">
      <c r="A3769" s="2" t="s">
        <v>10</v>
      </c>
      <c r="B3769" s="3" t="str">
        <f t="shared" si="70"/>
        <v>Invitation RP Perspective(s)</v>
      </c>
      <c r="C3769" s="3" t="str">
        <f>HYPERLINK("https://otsuka-europe-crm.veevavault.com/ui/#object/sent_email__v/VBLZ025E82GNLSX", "SE-000272811")</f>
        <v>SE-000272811</v>
      </c>
      <c r="D3769" s="4">
        <v>45915.416435185187</v>
      </c>
      <c r="E3769" s="5">
        <v>1</v>
      </c>
      <c r="F3769" s="5">
        <v>1</v>
      </c>
      <c r="G3769" s="5">
        <v>0</v>
      </c>
      <c r="H3769" s="4" t="s">
        <v>11</v>
      </c>
      <c r="I3769" s="5">
        <v>0</v>
      </c>
      <c r="J3769" s="4">
        <v>45915.412476851852</v>
      </c>
    </row>
    <row r="3770" spans="1:10" x14ac:dyDescent="0.2">
      <c r="A3770" s="2" t="s">
        <v>10</v>
      </c>
      <c r="B3770" s="3" t="str">
        <f t="shared" si="70"/>
        <v>Invitation RP Perspective(s)</v>
      </c>
      <c r="C3770" s="3" t="str">
        <f>HYPERLINK("https://otsuka-europe-crm.veevavault.com/ui/#object/sent_email__v/VBLZ025E82GPUCX", "SE-000275683")</f>
        <v>SE-000275683</v>
      </c>
      <c r="D3770" s="4" t="s">
        <v>11</v>
      </c>
      <c r="E3770" s="5">
        <v>0</v>
      </c>
      <c r="F3770" s="5">
        <v>0</v>
      </c>
      <c r="G3770" s="5">
        <v>0</v>
      </c>
      <c r="H3770" s="4" t="s">
        <v>11</v>
      </c>
      <c r="I3770" s="5">
        <v>0</v>
      </c>
      <c r="J3770" s="4">
        <v>45916.587013888886</v>
      </c>
    </row>
    <row r="3771" spans="1:10" x14ac:dyDescent="0.2">
      <c r="A3771" s="2" t="s">
        <v>10</v>
      </c>
      <c r="B3771" s="3" t="str">
        <f t="shared" si="70"/>
        <v>Invitation RP Perspective(s)</v>
      </c>
      <c r="C3771" s="3" t="str">
        <f>HYPERLINK("https://otsuka-europe-crm.veevavault.com/ui/#object/sent_email__v/VBLZ025E82GX4BH", "SE-000280128")</f>
        <v>SE-000280128</v>
      </c>
      <c r="D3771" s="4">
        <v>45923.875671296293</v>
      </c>
      <c r="E3771" s="5">
        <v>1</v>
      </c>
      <c r="F3771" s="5">
        <v>1</v>
      </c>
      <c r="G3771" s="5">
        <v>0</v>
      </c>
      <c r="H3771" s="4" t="s">
        <v>11</v>
      </c>
      <c r="I3771" s="5">
        <v>0</v>
      </c>
      <c r="J3771" s="4">
        <v>45923.438437500001</v>
      </c>
    </row>
    <row r="3772" spans="1:10" x14ac:dyDescent="0.2">
      <c r="A3772" s="2" t="s">
        <v>10</v>
      </c>
      <c r="B3772" s="3" t="str">
        <f t="shared" si="70"/>
        <v>Invitation RP Perspective(s)</v>
      </c>
      <c r="C3772" s="3" t="str">
        <f>HYPERLINK("https://otsuka-europe-crm.veevavault.com/ui/#object/sent_email__v/VBLZ025E82GX5S9", "SE-000280130")</f>
        <v>SE-000280130</v>
      </c>
      <c r="D3772" s="4" t="s">
        <v>11</v>
      </c>
      <c r="E3772" s="5">
        <v>0</v>
      </c>
      <c r="F3772" s="5">
        <v>0</v>
      </c>
      <c r="G3772" s="5">
        <v>0</v>
      </c>
      <c r="H3772" s="4" t="s">
        <v>11</v>
      </c>
      <c r="I3772" s="5">
        <v>0</v>
      </c>
      <c r="J3772" s="4">
        <v>45923.45208333333</v>
      </c>
    </row>
    <row r="3773" spans="1:10" x14ac:dyDescent="0.2">
      <c r="A3773" s="2" t="s">
        <v>10</v>
      </c>
      <c r="B3773" s="3" t="str">
        <f t="shared" si="70"/>
        <v>Invitation RP Perspective(s)</v>
      </c>
      <c r="C3773" s="3" t="str">
        <f>HYPERLINK("https://otsuka-europe-crm.veevavault.com/ui/#object/sent_email__v/VBLZ025E82H8R59", "SE-000283041")</f>
        <v>SE-000283041</v>
      </c>
      <c r="D3773" s="4" t="s">
        <v>11</v>
      </c>
      <c r="E3773" s="5">
        <v>0</v>
      </c>
      <c r="F3773" s="5">
        <v>0</v>
      </c>
      <c r="G3773" s="5">
        <v>0</v>
      </c>
      <c r="H3773" s="4" t="s">
        <v>11</v>
      </c>
      <c r="I3773" s="5">
        <v>0</v>
      </c>
      <c r="J3773" s="4">
        <v>45932.821215277778</v>
      </c>
    </row>
    <row r="3774" spans="1:10" x14ac:dyDescent="0.2">
      <c r="A3774" s="2" t="s">
        <v>10</v>
      </c>
      <c r="B3774" s="3" t="str">
        <f t="shared" si="70"/>
        <v>Invitation RP Perspective(s)</v>
      </c>
      <c r="C3774" s="3" t="str">
        <f>HYPERLINK("https://otsuka-europe-crm.veevavault.com/ui/#object/sent_email__v/VBLZ025E82H8R81", "SE-000283042")</f>
        <v>SE-000283042</v>
      </c>
      <c r="D3774" s="4" t="s">
        <v>11</v>
      </c>
      <c r="E3774" s="5">
        <v>0</v>
      </c>
      <c r="F3774" s="5">
        <v>0</v>
      </c>
      <c r="G3774" s="5">
        <v>0</v>
      </c>
      <c r="H3774" s="4" t="s">
        <v>11</v>
      </c>
      <c r="I3774" s="5">
        <v>0</v>
      </c>
      <c r="J3774" s="4">
        <v>45932.82240740741</v>
      </c>
    </row>
    <row r="3775" spans="1:10" x14ac:dyDescent="0.2">
      <c r="A3775" s="2" t="s">
        <v>10</v>
      </c>
      <c r="B3775" s="3" t="str">
        <f t="shared" si="70"/>
        <v>Invitation RP Perspective(s)</v>
      </c>
      <c r="C3775" s="3" t="str">
        <f>HYPERLINK("https://otsuka-europe-crm.veevavault.com/ui/#object/sent_email__v/VBLZ025E82HLGPH", "SE-000287822")</f>
        <v>SE-000287822</v>
      </c>
      <c r="D3775" s="4" t="s">
        <v>11</v>
      </c>
      <c r="E3775" s="5">
        <v>0</v>
      </c>
      <c r="F3775" s="5">
        <v>0</v>
      </c>
      <c r="G3775" s="5">
        <v>0</v>
      </c>
      <c r="H3775" s="4" t="s">
        <v>11</v>
      </c>
      <c r="I3775" s="5">
        <v>0</v>
      </c>
      <c r="J3775" s="4">
        <v>45945.612500000003</v>
      </c>
    </row>
    <row r="3776" spans="1:10" x14ac:dyDescent="0.2">
      <c r="A3776" s="2" t="s">
        <v>10</v>
      </c>
      <c r="B3776" s="3" t="str">
        <f t="shared" si="70"/>
        <v>Invitation RP Perspective(s)</v>
      </c>
      <c r="C3776" s="3" t="str">
        <f>HYPERLINK("https://otsuka-europe-crm.veevavault.com/ui/#object/sent_email__v/VBLZ025E82HM6H9", "SE-000287897")</f>
        <v>SE-000287897</v>
      </c>
      <c r="D3776" s="4" t="s">
        <v>11</v>
      </c>
      <c r="E3776" s="5">
        <v>0</v>
      </c>
      <c r="F3776" s="5">
        <v>0</v>
      </c>
      <c r="G3776" s="5">
        <v>0</v>
      </c>
      <c r="H3776" s="4" t="s">
        <v>11</v>
      </c>
      <c r="I3776" s="5">
        <v>0</v>
      </c>
      <c r="J3776" s="4">
        <v>45946.429652777777</v>
      </c>
    </row>
    <row r="3777" spans="1:10" x14ac:dyDescent="0.2">
      <c r="A3777" s="2" t="s">
        <v>10</v>
      </c>
      <c r="B3777" s="3" t="str">
        <f t="shared" si="70"/>
        <v>Invitation RP Perspective(s)</v>
      </c>
      <c r="C3777" s="3" t="str">
        <f>HYPERLINK("https://otsuka-europe-crm.veevavault.com/ui/#object/sent_email__v/VBLZ025E82HO0OL", "SE-000288046")</f>
        <v>SE-000288046</v>
      </c>
      <c r="D3777" s="4" t="s">
        <v>11</v>
      </c>
      <c r="E3777" s="5">
        <v>0</v>
      </c>
      <c r="F3777" s="5">
        <v>0</v>
      </c>
      <c r="G3777" s="5">
        <v>0</v>
      </c>
      <c r="H3777" s="4" t="s">
        <v>11</v>
      </c>
      <c r="I3777" s="5">
        <v>0</v>
      </c>
      <c r="J3777" s="4">
        <v>45947.699675925927</v>
      </c>
    </row>
    <row r="3778" spans="1:10" x14ac:dyDescent="0.2">
      <c r="A3778" s="2" t="s">
        <v>10</v>
      </c>
      <c r="B3778" s="3" t="str">
        <f t="shared" si="70"/>
        <v>Invitation RP Perspective(s)</v>
      </c>
      <c r="C3778" s="3" t="str">
        <f>HYPERLINK("https://otsuka-europe-crm.veevavault.com/ui/#object/sent_email__v/VBLZ025E82HO0U5", "SE-000288047")</f>
        <v>SE-000288047</v>
      </c>
      <c r="D3778" s="4" t="s">
        <v>11</v>
      </c>
      <c r="E3778" s="5">
        <v>0</v>
      </c>
      <c r="F3778" s="5">
        <v>0</v>
      </c>
      <c r="G3778" s="5">
        <v>0</v>
      </c>
      <c r="H3778" s="4" t="s">
        <v>11</v>
      </c>
      <c r="I3778" s="5">
        <v>0</v>
      </c>
      <c r="J3778" s="4">
        <v>45947.702291666668</v>
      </c>
    </row>
    <row r="3779" spans="1:10" x14ac:dyDescent="0.2">
      <c r="A3779" s="2" t="s">
        <v>10</v>
      </c>
      <c r="B3779" s="3" t="str">
        <f t="shared" si="70"/>
        <v>Invitation RP Perspective(s)</v>
      </c>
      <c r="C3779" s="3" t="str">
        <f>HYPERLINK("https://otsuka-europe-crm.veevavault.com/ui/#object/sent_email__v/VBLZ025E82HO2AX", "SE-000288048")</f>
        <v>SE-000288048</v>
      </c>
      <c r="D3779" s="4" t="s">
        <v>11</v>
      </c>
      <c r="E3779" s="5">
        <v>0</v>
      </c>
      <c r="F3779" s="5">
        <v>0</v>
      </c>
      <c r="G3779" s="5">
        <v>0</v>
      </c>
      <c r="H3779" s="4" t="s">
        <v>11</v>
      </c>
      <c r="I3779" s="5">
        <v>0</v>
      </c>
      <c r="J3779" s="4">
        <v>45947.740023148152</v>
      </c>
    </row>
    <row r="3780" spans="1:10" x14ac:dyDescent="0.2">
      <c r="A3780" s="2" t="s">
        <v>10</v>
      </c>
      <c r="B3780" s="3" t="str">
        <f t="shared" si="70"/>
        <v>Invitation RP Perspective(s)</v>
      </c>
      <c r="C3780" s="3" t="str">
        <f>HYPERLINK("https://otsuka-europe-crm.veevavault.com/ui/#object/sent_email__v/VBLZ025E82HO32P", "SE-000288049")</f>
        <v>SE-000288049</v>
      </c>
      <c r="D3780" s="4">
        <v>45950.368900462963</v>
      </c>
      <c r="E3780" s="5">
        <v>1</v>
      </c>
      <c r="F3780" s="5">
        <v>3</v>
      </c>
      <c r="G3780" s="5">
        <v>1</v>
      </c>
      <c r="H3780" s="4">
        <v>45950.340648148151</v>
      </c>
      <c r="I3780" s="5">
        <v>1</v>
      </c>
      <c r="J3780" s="4">
        <v>45947.742696759262</v>
      </c>
    </row>
    <row r="3781" spans="1:10" x14ac:dyDescent="0.2">
      <c r="A3781" s="2" t="s">
        <v>10</v>
      </c>
      <c r="B3781" s="3" t="str">
        <f t="shared" si="70"/>
        <v>Invitation RP Perspective(s)</v>
      </c>
      <c r="C3781" s="3" t="str">
        <f>HYPERLINK("https://otsuka-europe-crm.veevavault.com/ui/#object/sent_email__v/VBLZ025E82HO2AY", "SE-000288050")</f>
        <v>SE-000288050</v>
      </c>
      <c r="D3781" s="4" t="s">
        <v>11</v>
      </c>
      <c r="E3781" s="5">
        <v>0</v>
      </c>
      <c r="F3781" s="5">
        <v>0</v>
      </c>
      <c r="G3781" s="5">
        <v>0</v>
      </c>
      <c r="H3781" s="4" t="s">
        <v>11</v>
      </c>
      <c r="I3781" s="5">
        <v>0</v>
      </c>
      <c r="J3781" s="4">
        <v>45947.75</v>
      </c>
    </row>
    <row r="3782" spans="1:10" x14ac:dyDescent="0.2">
      <c r="A3782" s="2" t="s">
        <v>10</v>
      </c>
      <c r="B3782" s="3" t="str">
        <f t="shared" si="70"/>
        <v>Invitation RP Perspective(s)</v>
      </c>
      <c r="C3782" s="3" t="str">
        <f>HYPERLINK("https://otsuka-europe-crm.veevavault.com/ui/#object/sent_email__v/VBLZ025E82HOU8I", "SE-000288476")</f>
        <v>SE-000288476</v>
      </c>
      <c r="D3782" s="4">
        <v>45950.463738425926</v>
      </c>
      <c r="E3782" s="5">
        <v>1</v>
      </c>
      <c r="F3782" s="5">
        <v>1</v>
      </c>
      <c r="G3782" s="5">
        <v>0</v>
      </c>
      <c r="H3782" s="4" t="s">
        <v>11</v>
      </c>
      <c r="I3782" s="5">
        <v>0</v>
      </c>
      <c r="J3782" s="4">
        <v>45950.463692129626</v>
      </c>
    </row>
    <row r="3783" spans="1:10" x14ac:dyDescent="0.2">
      <c r="A3783" s="2" t="s">
        <v>10</v>
      </c>
      <c r="B3783" s="3" t="str">
        <f t="shared" si="70"/>
        <v>Invitation RP Perspective(s)</v>
      </c>
      <c r="C3783" s="3" t="str">
        <f>HYPERLINK("https://otsuka-europe-crm.veevavault.com/ui/#object/sent_email__v/VBLZ025E82HOW5X", "SE-000288477")</f>
        <v>SE-000288477</v>
      </c>
      <c r="D3783" s="4" t="s">
        <v>11</v>
      </c>
      <c r="E3783" s="5">
        <v>0</v>
      </c>
      <c r="F3783" s="5">
        <v>0</v>
      </c>
      <c r="G3783" s="5">
        <v>0</v>
      </c>
      <c r="H3783" s="4" t="s">
        <v>11</v>
      </c>
      <c r="I3783" s="5">
        <v>0</v>
      </c>
      <c r="J3783" s="4">
        <v>45950.464467592596</v>
      </c>
    </row>
    <row r="3784" spans="1:10" x14ac:dyDescent="0.2">
      <c r="A3784" s="2" t="s">
        <v>10</v>
      </c>
      <c r="B3784" s="3" t="str">
        <f t="shared" si="70"/>
        <v>Invitation RP Perspective(s)</v>
      </c>
      <c r="C3784" s="3" t="str">
        <f>HYPERLINK("https://otsuka-europe-crm.veevavault.com/ui/#object/sent_email__v/VBL00000000R270", "SE-001391885")</f>
        <v>SE-001391885</v>
      </c>
      <c r="D3784" s="4">
        <v>46016.773043981484</v>
      </c>
      <c r="E3784" s="5">
        <v>1</v>
      </c>
      <c r="F3784" s="5">
        <v>3</v>
      </c>
      <c r="G3784" s="5">
        <v>1</v>
      </c>
      <c r="H3784" s="4">
        <v>45986.402048611111</v>
      </c>
      <c r="I3784" s="5">
        <v>3</v>
      </c>
      <c r="J3784" s="4">
        <v>45986.39949074074</v>
      </c>
    </row>
    <row r="3785" spans="1:10" x14ac:dyDescent="0.2">
      <c r="A3785" s="2" t="s">
        <v>10</v>
      </c>
      <c r="B3785" s="3" t="str">
        <f t="shared" si="70"/>
        <v>Invitation RP Perspective(s)</v>
      </c>
      <c r="C3785" s="3" t="str">
        <f>HYPERLINK("https://otsuka-europe-crm.veevavault.com/ui/#object/sent_email__v/VBL00000000S194", "SE-001391997")</f>
        <v>SE-001391997</v>
      </c>
      <c r="D3785" s="4">
        <v>45990.575671296298</v>
      </c>
      <c r="E3785" s="5">
        <v>1</v>
      </c>
      <c r="F3785" s="5">
        <v>1</v>
      </c>
      <c r="G3785" s="5">
        <v>1</v>
      </c>
      <c r="H3785" s="4">
        <v>45990.576805555553</v>
      </c>
      <c r="I3785" s="5">
        <v>4</v>
      </c>
      <c r="J3785" s="4">
        <v>45988.436053240737</v>
      </c>
    </row>
    <row r="3786" spans="1:10" x14ac:dyDescent="0.2">
      <c r="A3786" s="2" t="s">
        <v>10</v>
      </c>
      <c r="B3786" s="3" t="str">
        <f t="shared" si="70"/>
        <v>Invitation RP Perspective(s)</v>
      </c>
      <c r="C3786" s="3" t="str">
        <f>HYPERLINK("https://otsuka-europe-crm.veevavault.com/ui/#object/sent_email__v/VBL00000000S195", "SE-001391998")</f>
        <v>SE-001391998</v>
      </c>
      <c r="D3786" s="4" t="s">
        <v>11</v>
      </c>
      <c r="E3786" s="5">
        <v>0</v>
      </c>
      <c r="F3786" s="5">
        <v>0</v>
      </c>
      <c r="G3786" s="5">
        <v>0</v>
      </c>
      <c r="H3786" s="4" t="s">
        <v>11</v>
      </c>
      <c r="I3786" s="5">
        <v>0</v>
      </c>
      <c r="J3786" s="4">
        <v>45988.437326388892</v>
      </c>
    </row>
    <row r="3787" spans="1:10" x14ac:dyDescent="0.2">
      <c r="A3787" s="2" t="s">
        <v>10</v>
      </c>
      <c r="B3787" s="3" t="str">
        <f t="shared" si="70"/>
        <v>Invitation RP Perspective(s)</v>
      </c>
      <c r="C3787" s="3" t="str">
        <f>HYPERLINK("https://otsuka-europe-crm.veevavault.com/ui/#object/sent_email__v/VBL00000000R362", "SE-001391999")</f>
        <v>SE-001391999</v>
      </c>
      <c r="D3787" s="4">
        <v>45989.315405092595</v>
      </c>
      <c r="E3787" s="5">
        <v>1</v>
      </c>
      <c r="F3787" s="5">
        <v>11</v>
      </c>
      <c r="G3787" s="5">
        <v>0</v>
      </c>
      <c r="H3787" s="4" t="s">
        <v>11</v>
      </c>
      <c r="I3787" s="5">
        <v>0</v>
      </c>
      <c r="J3787" s="4">
        <v>45988.43787037037</v>
      </c>
    </row>
    <row r="3788" spans="1:10" x14ac:dyDescent="0.2">
      <c r="A3788" s="2" t="s">
        <v>10</v>
      </c>
      <c r="B3788" s="3" t="str">
        <f t="shared" si="70"/>
        <v>Invitation RP Perspective(s)</v>
      </c>
      <c r="C3788" s="3" t="str">
        <f>HYPERLINK("https://otsuka-europe-crm.veevavault.com/ui/#object/sent_email__v/VBL00000000S196", "SE-001392000")</f>
        <v>SE-001392000</v>
      </c>
      <c r="D3788" s="4" t="s">
        <v>11</v>
      </c>
      <c r="E3788" s="5">
        <v>0</v>
      </c>
      <c r="F3788" s="5">
        <v>0</v>
      </c>
      <c r="G3788" s="5">
        <v>0</v>
      </c>
      <c r="H3788" s="4" t="s">
        <v>11</v>
      </c>
      <c r="I3788" s="5">
        <v>0</v>
      </c>
      <c r="J3788" s="4">
        <v>45988.438842592594</v>
      </c>
    </row>
    <row r="3789" spans="1:10" x14ac:dyDescent="0.2">
      <c r="A3789" s="2" t="s">
        <v>10</v>
      </c>
      <c r="B3789" s="3" t="str">
        <f t="shared" si="70"/>
        <v>Invitation RP Perspective(s)</v>
      </c>
      <c r="C3789" s="3" t="str">
        <f>HYPERLINK("https://otsuka-europe-crm.veevavault.com/ui/#object/sent_email__v/VBL00000000S197", "SE-001392001")</f>
        <v>SE-001392001</v>
      </c>
      <c r="D3789" s="4" t="s">
        <v>11</v>
      </c>
      <c r="E3789" s="5">
        <v>0</v>
      </c>
      <c r="F3789" s="5">
        <v>0</v>
      </c>
      <c r="G3789" s="5">
        <v>0</v>
      </c>
      <c r="H3789" s="4" t="s">
        <v>11</v>
      </c>
      <c r="I3789" s="5">
        <v>0</v>
      </c>
      <c r="J3789" s="4">
        <v>45988.439953703702</v>
      </c>
    </row>
    <row r="3790" spans="1:10" x14ac:dyDescent="0.2">
      <c r="A3790" s="2" t="s">
        <v>10</v>
      </c>
      <c r="B3790" s="3" t="str">
        <f t="shared" si="70"/>
        <v>Invitation RP Perspective(s)</v>
      </c>
      <c r="C3790" s="3" t="str">
        <f>HYPERLINK("https://otsuka-europe-crm.veevavault.com/ui/#object/sent_email__v/VBL00000000W029", "SE-001395617")</f>
        <v>SE-001395617</v>
      </c>
      <c r="D3790" s="4">
        <v>46001.781956018516</v>
      </c>
      <c r="E3790" s="5">
        <v>1</v>
      </c>
      <c r="F3790" s="5">
        <v>1</v>
      </c>
      <c r="G3790" s="5">
        <v>1</v>
      </c>
      <c r="H3790" s="4">
        <v>46001.782696759263</v>
      </c>
      <c r="I3790" s="5">
        <v>1</v>
      </c>
      <c r="J3790" s="4">
        <v>45996.518217592595</v>
      </c>
    </row>
    <row r="3791" spans="1:10" x14ac:dyDescent="0.2">
      <c r="A3791" s="2" t="s">
        <v>10</v>
      </c>
      <c r="B3791" s="3" t="str">
        <f t="shared" si="70"/>
        <v>Invitation RP Perspective(s)</v>
      </c>
      <c r="C3791" s="3" t="str">
        <f>HYPERLINK("https://otsuka-europe-crm.veevavault.com/ui/#object/sent_email__v/VBL00000001G238", "SE-001405436")</f>
        <v>SE-001405436</v>
      </c>
      <c r="D3791" s="4">
        <v>46073.9684837963</v>
      </c>
      <c r="E3791" s="5">
        <v>1</v>
      </c>
      <c r="F3791" s="5">
        <v>1</v>
      </c>
      <c r="G3791" s="5">
        <v>0</v>
      </c>
      <c r="H3791" s="4" t="s">
        <v>11</v>
      </c>
      <c r="I3791" s="5">
        <v>0</v>
      </c>
      <c r="J3791" s="4">
        <v>46073.661481481482</v>
      </c>
    </row>
    <row r="3792" spans="1:10" x14ac:dyDescent="0.2">
      <c r="A3792" s="2" t="s">
        <v>10</v>
      </c>
      <c r="B3792" s="3" t="str">
        <f t="shared" ref="B3792:B3798" si="71">HYPERLINK("https://otsuka-europe-crm.veevavault.com/ui/#object/approved_document__v/V5OZ04ASG4FU7LQ", "INVITATION_RDV TEL_092022")</f>
        <v>INVITATION_RDV TEL_092022</v>
      </c>
      <c r="C3792" s="3" t="str">
        <f>HYPERLINK("https://otsuka-europe-crm.veevavault.com/ui/#object/sent_email__v/VBLZ025E82GLA09", "SE-000255984")</f>
        <v>SE-000255984</v>
      </c>
      <c r="D3792" s="4">
        <v>45911.644618055558</v>
      </c>
      <c r="E3792" s="5">
        <v>1</v>
      </c>
      <c r="F3792" s="5">
        <v>1</v>
      </c>
      <c r="G3792" s="5">
        <v>0</v>
      </c>
      <c r="H3792" s="4" t="s">
        <v>11</v>
      </c>
      <c r="I3792" s="5">
        <v>0</v>
      </c>
      <c r="J3792" s="4">
        <v>45911.644467592596</v>
      </c>
    </row>
    <row r="3793" spans="1:10" x14ac:dyDescent="0.2">
      <c r="A3793" s="2" t="s">
        <v>10</v>
      </c>
      <c r="B3793" s="3" t="str">
        <f t="shared" si="71"/>
        <v>INVITATION_RDV TEL_092022</v>
      </c>
      <c r="C3793" s="3" t="str">
        <f>HYPERLINK("https://otsuka-europe-crm.veevavault.com/ui/#object/sent_email__v/VBL000000013892", "SE-001399492")</f>
        <v>SE-001399492</v>
      </c>
      <c r="D3793" s="4" t="s">
        <v>11</v>
      </c>
      <c r="E3793" s="5">
        <v>0</v>
      </c>
      <c r="F3793" s="5">
        <v>0</v>
      </c>
      <c r="G3793" s="5">
        <v>0</v>
      </c>
      <c r="H3793" s="4" t="s">
        <v>11</v>
      </c>
      <c r="I3793" s="5">
        <v>0</v>
      </c>
      <c r="J3793" s="4">
        <v>46030.63826388889</v>
      </c>
    </row>
    <row r="3794" spans="1:10" x14ac:dyDescent="0.2">
      <c r="A3794" s="2" t="s">
        <v>10</v>
      </c>
      <c r="B3794" s="3" t="str">
        <f t="shared" si="71"/>
        <v>INVITATION_RDV TEL_092022</v>
      </c>
      <c r="C3794" s="3" t="str">
        <f>HYPERLINK("https://otsuka-europe-crm.veevavault.com/ui/#object/sent_email__v/VBL000000015214", "SE-001400421")</f>
        <v>SE-001400421</v>
      </c>
      <c r="D3794" s="4">
        <v>46043.454328703701</v>
      </c>
      <c r="E3794" s="5">
        <v>1</v>
      </c>
      <c r="F3794" s="5">
        <v>1</v>
      </c>
      <c r="G3794" s="5">
        <v>0</v>
      </c>
      <c r="H3794" s="4" t="s">
        <v>11</v>
      </c>
      <c r="I3794" s="5">
        <v>0</v>
      </c>
      <c r="J3794" s="4">
        <v>46043.429351851853</v>
      </c>
    </row>
    <row r="3795" spans="1:10" x14ac:dyDescent="0.2">
      <c r="A3795" s="2" t="s">
        <v>10</v>
      </c>
      <c r="B3795" s="3" t="str">
        <f t="shared" si="71"/>
        <v>INVITATION_RDV TEL_092022</v>
      </c>
      <c r="C3795" s="3" t="str">
        <f>HYPERLINK("https://otsuka-europe-crm.veevavault.com/ui/#object/sent_email__v/VBL000000015215", "SE-001400422")</f>
        <v>SE-001400422</v>
      </c>
      <c r="D3795" s="4">
        <v>46043.454224537039</v>
      </c>
      <c r="E3795" s="5">
        <v>1</v>
      </c>
      <c r="F3795" s="5">
        <v>1</v>
      </c>
      <c r="G3795" s="5">
        <v>0</v>
      </c>
      <c r="H3795" s="4" t="s">
        <v>11</v>
      </c>
      <c r="I3795" s="5">
        <v>0</v>
      </c>
      <c r="J3795" s="4">
        <v>46043.428981481484</v>
      </c>
    </row>
    <row r="3796" spans="1:10" x14ac:dyDescent="0.2">
      <c r="A3796" s="2" t="s">
        <v>10</v>
      </c>
      <c r="B3796" s="3" t="str">
        <f t="shared" si="71"/>
        <v>INVITATION_RDV TEL_092022</v>
      </c>
      <c r="C3796" s="3" t="str">
        <f>HYPERLINK("https://otsuka-europe-crm.veevavault.com/ui/#object/sent_email__v/VBL000000016367", "SE-001400624")</f>
        <v>SE-001400624</v>
      </c>
      <c r="D3796" s="4" t="s">
        <v>11</v>
      </c>
      <c r="E3796" s="5">
        <v>0</v>
      </c>
      <c r="F3796" s="5">
        <v>0</v>
      </c>
      <c r="G3796" s="5">
        <v>0</v>
      </c>
      <c r="H3796" s="4" t="s">
        <v>11</v>
      </c>
      <c r="I3796" s="5">
        <v>0</v>
      </c>
      <c r="J3796" s="4">
        <v>46043.420960648145</v>
      </c>
    </row>
    <row r="3797" spans="1:10" x14ac:dyDescent="0.2">
      <c r="A3797" s="2" t="s">
        <v>10</v>
      </c>
      <c r="B3797" s="3" t="str">
        <f t="shared" si="71"/>
        <v>INVITATION_RDV TEL_092022</v>
      </c>
      <c r="C3797" s="3" t="str">
        <f>HYPERLINK("https://otsuka-europe-crm.veevavault.com/ui/#object/sent_email__v/VBL000000018091", "SE-001402182")</f>
        <v>SE-001402182</v>
      </c>
      <c r="D3797" s="4">
        <v>46055.553738425922</v>
      </c>
      <c r="E3797" s="5">
        <v>1</v>
      </c>
      <c r="F3797" s="5">
        <v>2</v>
      </c>
      <c r="G3797" s="5">
        <v>0</v>
      </c>
      <c r="H3797" s="4" t="s">
        <v>11</v>
      </c>
      <c r="I3797" s="5">
        <v>0</v>
      </c>
      <c r="J3797" s="4">
        <v>46051.41878472222</v>
      </c>
    </row>
    <row r="3798" spans="1:10" x14ac:dyDescent="0.2">
      <c r="A3798" s="2" t="s">
        <v>10</v>
      </c>
      <c r="B3798" s="3" t="str">
        <f t="shared" si="71"/>
        <v>INVITATION_RDV TEL_092022</v>
      </c>
      <c r="C3798" s="3" t="str">
        <f>HYPERLINK("https://otsuka-europe-crm.veevavault.com/ui/#object/sent_email__v/VBL000000019023", "SE-001402284")</f>
        <v>SE-001402284</v>
      </c>
      <c r="D3798" s="4" t="s">
        <v>11</v>
      </c>
      <c r="E3798" s="5">
        <v>0</v>
      </c>
      <c r="F3798" s="5">
        <v>0</v>
      </c>
      <c r="G3798" s="5">
        <v>0</v>
      </c>
      <c r="H3798" s="4" t="s">
        <v>11</v>
      </c>
      <c r="I3798" s="5">
        <v>0</v>
      </c>
      <c r="J3798" s="4">
        <v>46052.409699074073</v>
      </c>
    </row>
    <row r="3799" spans="1:10" x14ac:dyDescent="0.2">
      <c r="A3799" s="2" t="s">
        <v>10</v>
      </c>
      <c r="B3799" s="3" t="str">
        <f t="shared" ref="B3799:B3862" si="72">HYPERLINK("https://otsuka-europe-crm.veevavault.com/ui/#object/approved_document__v/V5OZ04ASG4G02Y6", "INVITATION_VAD_2023")</f>
        <v>INVITATION_VAD_2023</v>
      </c>
      <c r="C3799" s="3" t="str">
        <f>HYPERLINK("https://otsuka-europe-crm.veevavault.com/ui/#object/sent_email__v/VBLZ025E82GBFRH", "SE-000254901")</f>
        <v>SE-000254901</v>
      </c>
      <c r="D3799" s="4" t="s">
        <v>11</v>
      </c>
      <c r="E3799" s="5">
        <v>0</v>
      </c>
      <c r="F3799" s="5">
        <v>0</v>
      </c>
      <c r="G3799" s="5">
        <v>0</v>
      </c>
      <c r="H3799" s="4" t="s">
        <v>11</v>
      </c>
      <c r="I3799" s="5">
        <v>0</v>
      </c>
      <c r="J3799" s="4">
        <v>45901.327222222222</v>
      </c>
    </row>
    <row r="3800" spans="1:10" x14ac:dyDescent="0.2">
      <c r="A3800" s="2" t="s">
        <v>10</v>
      </c>
      <c r="B3800" s="3" t="str">
        <f t="shared" si="72"/>
        <v>INVITATION_VAD_2023</v>
      </c>
      <c r="C3800" s="3" t="str">
        <f>HYPERLINK("https://otsuka-europe-crm.veevavault.com/ui/#object/sent_email__v/VBLZ025E82GC4LX", "SE-000254923")</f>
        <v>SE-000254923</v>
      </c>
      <c r="D3800" s="4" t="s">
        <v>11</v>
      </c>
      <c r="E3800" s="5">
        <v>0</v>
      </c>
      <c r="F3800" s="5">
        <v>0</v>
      </c>
      <c r="G3800" s="5">
        <v>0</v>
      </c>
      <c r="H3800" s="4" t="s">
        <v>11</v>
      </c>
      <c r="I3800" s="5">
        <v>0</v>
      </c>
      <c r="J3800" s="4">
        <v>45901.612928240742</v>
      </c>
    </row>
    <row r="3801" spans="1:10" x14ac:dyDescent="0.2">
      <c r="A3801" s="2" t="s">
        <v>10</v>
      </c>
      <c r="B3801" s="3" t="str">
        <f t="shared" si="72"/>
        <v>INVITATION_VAD_2023</v>
      </c>
      <c r="C3801" s="3" t="str">
        <f>HYPERLINK("https://otsuka-europe-crm.veevavault.com/ui/#object/sent_email__v/VBLZ025E82GC931", "SE-000254927")</f>
        <v>SE-000254927</v>
      </c>
      <c r="D3801" s="4" t="s">
        <v>11</v>
      </c>
      <c r="E3801" s="5">
        <v>0</v>
      </c>
      <c r="F3801" s="5">
        <v>0</v>
      </c>
      <c r="G3801" s="5">
        <v>0</v>
      </c>
      <c r="H3801" s="4" t="s">
        <v>11</v>
      </c>
      <c r="I3801" s="5">
        <v>0</v>
      </c>
      <c r="J3801" s="4">
        <v>45901.6565162037</v>
      </c>
    </row>
    <row r="3802" spans="1:10" x14ac:dyDescent="0.2">
      <c r="A3802" s="2" t="s">
        <v>10</v>
      </c>
      <c r="B3802" s="3" t="str">
        <f t="shared" si="72"/>
        <v>INVITATION_VAD_2023</v>
      </c>
      <c r="C3802" s="3" t="str">
        <f>HYPERLINK("https://otsuka-europe-crm.veevavault.com/ui/#object/sent_email__v/VBLZ025E82GE3D5", "SE-000255203")</f>
        <v>SE-000255203</v>
      </c>
      <c r="D3802" s="4">
        <v>45904.951747685183</v>
      </c>
      <c r="E3802" s="5">
        <v>1</v>
      </c>
      <c r="F3802" s="5">
        <v>2</v>
      </c>
      <c r="G3802" s="5">
        <v>0</v>
      </c>
      <c r="H3802" s="4" t="s">
        <v>11</v>
      </c>
      <c r="I3802" s="5">
        <v>0</v>
      </c>
      <c r="J3802" s="4">
        <v>45903.520046296297</v>
      </c>
    </row>
    <row r="3803" spans="1:10" x14ac:dyDescent="0.2">
      <c r="A3803" s="2" t="s">
        <v>10</v>
      </c>
      <c r="B3803" s="3" t="str">
        <f t="shared" si="72"/>
        <v>INVITATION_VAD_2023</v>
      </c>
      <c r="C3803" s="3" t="str">
        <f>HYPERLINK("https://otsuka-europe-crm.veevavault.com/ui/#object/sent_email__v/VBLZ025E82GE3LH", "SE-000255206")</f>
        <v>SE-000255206</v>
      </c>
      <c r="D3803" s="4" t="s">
        <v>11</v>
      </c>
      <c r="E3803" s="5">
        <v>0</v>
      </c>
      <c r="F3803" s="5">
        <v>0</v>
      </c>
      <c r="G3803" s="5">
        <v>0</v>
      </c>
      <c r="H3803" s="4" t="s">
        <v>11</v>
      </c>
      <c r="I3803" s="5">
        <v>0</v>
      </c>
      <c r="J3803" s="4">
        <v>45903.520868055559</v>
      </c>
    </row>
    <row r="3804" spans="1:10" x14ac:dyDescent="0.2">
      <c r="A3804" s="2" t="s">
        <v>10</v>
      </c>
      <c r="B3804" s="3" t="str">
        <f t="shared" si="72"/>
        <v>INVITATION_VAD_2023</v>
      </c>
      <c r="C3804" s="3" t="str">
        <f>HYPERLINK("https://otsuka-europe-crm.veevavault.com/ui/#object/sent_email__v/VBLZ025E82GES4T", "SE-000255235")</f>
        <v>SE-000255235</v>
      </c>
      <c r="D3804" s="4" t="s">
        <v>11</v>
      </c>
      <c r="E3804" s="5">
        <v>0</v>
      </c>
      <c r="F3804" s="5">
        <v>0</v>
      </c>
      <c r="G3804" s="5">
        <v>0</v>
      </c>
      <c r="H3804" s="4" t="s">
        <v>11</v>
      </c>
      <c r="I3804" s="5">
        <v>0</v>
      </c>
      <c r="J3804" s="4">
        <v>45904.304918981485</v>
      </c>
    </row>
    <row r="3805" spans="1:10" x14ac:dyDescent="0.2">
      <c r="A3805" s="2" t="s">
        <v>10</v>
      </c>
      <c r="B3805" s="3" t="str">
        <f t="shared" si="72"/>
        <v>INVITATION_VAD_2023</v>
      </c>
      <c r="C3805" s="3" t="str">
        <f>HYPERLINK("https://otsuka-europe-crm.veevavault.com/ui/#object/sent_email__v/VBLZ025E82GEZRT", "SE-000255276")</f>
        <v>SE-000255276</v>
      </c>
      <c r="D3805" s="4">
        <v>45911.531759259262</v>
      </c>
      <c r="E3805" s="5">
        <v>1</v>
      </c>
      <c r="F3805" s="5">
        <v>3</v>
      </c>
      <c r="G3805" s="5">
        <v>0</v>
      </c>
      <c r="H3805" s="4" t="s">
        <v>11</v>
      </c>
      <c r="I3805" s="5">
        <v>0</v>
      </c>
      <c r="J3805" s="4">
        <v>45904.430034722223</v>
      </c>
    </row>
    <row r="3806" spans="1:10" x14ac:dyDescent="0.2">
      <c r="A3806" s="2" t="s">
        <v>10</v>
      </c>
      <c r="B3806" s="3" t="str">
        <f t="shared" si="72"/>
        <v>INVITATION_VAD_2023</v>
      </c>
      <c r="C3806" s="3" t="str">
        <f>HYPERLINK("https://otsuka-europe-crm.veevavault.com/ui/#object/sent_email__v/VBLZ025E82GFDCP", "SE-000255318")</f>
        <v>SE-000255318</v>
      </c>
      <c r="D3806" s="4" t="s">
        <v>11</v>
      </c>
      <c r="E3806" s="5">
        <v>0</v>
      </c>
      <c r="F3806" s="5">
        <v>0</v>
      </c>
      <c r="G3806" s="5">
        <v>0</v>
      </c>
      <c r="H3806" s="4" t="s">
        <v>11</v>
      </c>
      <c r="I3806" s="5">
        <v>0</v>
      </c>
      <c r="J3806" s="4">
        <v>45904.573796296296</v>
      </c>
    </row>
    <row r="3807" spans="1:10" x14ac:dyDescent="0.2">
      <c r="A3807" s="2" t="s">
        <v>10</v>
      </c>
      <c r="B3807" s="3" t="str">
        <f t="shared" si="72"/>
        <v>INVITATION_VAD_2023</v>
      </c>
      <c r="C3807" s="3" t="str">
        <f>HYPERLINK("https://otsuka-europe-crm.veevavault.com/ui/#object/sent_email__v/VBLZ025E82GFCTB", "SE-000255383")</f>
        <v>SE-000255383</v>
      </c>
      <c r="D3807" s="4">
        <v>45909.53460648148</v>
      </c>
      <c r="E3807" s="5">
        <v>1</v>
      </c>
      <c r="F3807" s="5">
        <v>2</v>
      </c>
      <c r="G3807" s="5">
        <v>0</v>
      </c>
      <c r="H3807" s="4" t="s">
        <v>11</v>
      </c>
      <c r="I3807" s="5">
        <v>0</v>
      </c>
      <c r="J3807" s="4">
        <v>45904.625196759262</v>
      </c>
    </row>
    <row r="3808" spans="1:10" x14ac:dyDescent="0.2">
      <c r="A3808" s="2" t="s">
        <v>10</v>
      </c>
      <c r="B3808" s="3" t="str">
        <f t="shared" si="72"/>
        <v>INVITATION_VAD_2023</v>
      </c>
      <c r="C3808" s="3" t="str">
        <f>HYPERLINK("https://otsuka-europe-crm.veevavault.com/ui/#object/sent_email__v/VBLZ025E82GGTCX", "SE-000255514")</f>
        <v>SE-000255514</v>
      </c>
      <c r="D3808" s="4">
        <v>45906.431631944448</v>
      </c>
      <c r="E3808" s="5">
        <v>1</v>
      </c>
      <c r="F3808" s="5">
        <v>1</v>
      </c>
      <c r="G3808" s="5">
        <v>0</v>
      </c>
      <c r="H3808" s="4" t="s">
        <v>11</v>
      </c>
      <c r="I3808" s="5">
        <v>0</v>
      </c>
      <c r="J3808" s="4">
        <v>45905.754803240743</v>
      </c>
    </row>
    <row r="3809" spans="1:10" x14ac:dyDescent="0.2">
      <c r="A3809" s="2" t="s">
        <v>10</v>
      </c>
      <c r="B3809" s="3" t="str">
        <f t="shared" si="72"/>
        <v>INVITATION_VAD_2023</v>
      </c>
      <c r="C3809" s="3" t="str">
        <f>HYPERLINK("https://otsuka-europe-crm.veevavault.com/ui/#object/sent_email__v/VBLZ025E82GHOAT", "SE-000255532")</f>
        <v>SE-000255532</v>
      </c>
      <c r="D3809" s="4" t="s">
        <v>11</v>
      </c>
      <c r="E3809" s="5">
        <v>0</v>
      </c>
      <c r="F3809" s="5">
        <v>0</v>
      </c>
      <c r="G3809" s="5">
        <v>0</v>
      </c>
      <c r="H3809" s="4" t="s">
        <v>11</v>
      </c>
      <c r="I3809" s="5">
        <v>0</v>
      </c>
      <c r="J3809" s="4">
        <v>45908.586481481485</v>
      </c>
    </row>
    <row r="3810" spans="1:10" x14ac:dyDescent="0.2">
      <c r="A3810" s="2" t="s">
        <v>10</v>
      </c>
      <c r="B3810" s="3" t="str">
        <f t="shared" si="72"/>
        <v>INVITATION_VAD_2023</v>
      </c>
      <c r="C3810" s="3" t="str">
        <f>HYPERLINK("https://otsuka-europe-crm.veevavault.com/ui/#object/sent_email__v/VBLZ025E82GHRDX", "SE-000255536")</f>
        <v>SE-000255536</v>
      </c>
      <c r="D3810" s="4" t="s">
        <v>11</v>
      </c>
      <c r="E3810" s="5">
        <v>0</v>
      </c>
      <c r="F3810" s="5">
        <v>0</v>
      </c>
      <c r="G3810" s="5">
        <v>0</v>
      </c>
      <c r="H3810" s="4" t="s">
        <v>11</v>
      </c>
      <c r="I3810" s="5">
        <v>0</v>
      </c>
      <c r="J3810" s="4">
        <v>45908.618055555555</v>
      </c>
    </row>
    <row r="3811" spans="1:10" x14ac:dyDescent="0.2">
      <c r="A3811" s="2" t="s">
        <v>10</v>
      </c>
      <c r="B3811" s="3" t="str">
        <f t="shared" si="72"/>
        <v>INVITATION_VAD_2023</v>
      </c>
      <c r="C3811" s="3" t="str">
        <f>HYPERLINK("https://otsuka-europe-crm.veevavault.com/ui/#object/sent_email__v/VBLZ025E82GHWPM", "SE-000255546")</f>
        <v>SE-000255546</v>
      </c>
      <c r="D3811" s="4" t="s">
        <v>11</v>
      </c>
      <c r="E3811" s="5">
        <v>0</v>
      </c>
      <c r="F3811" s="5">
        <v>0</v>
      </c>
      <c r="G3811" s="5">
        <v>0</v>
      </c>
      <c r="H3811" s="4" t="s">
        <v>11</v>
      </c>
      <c r="I3811" s="5">
        <v>0</v>
      </c>
      <c r="J3811" s="4">
        <v>45908.67114583333</v>
      </c>
    </row>
    <row r="3812" spans="1:10" x14ac:dyDescent="0.2">
      <c r="A3812" s="2" t="s">
        <v>10</v>
      </c>
      <c r="B3812" s="3" t="str">
        <f t="shared" si="72"/>
        <v>INVITATION_VAD_2023</v>
      </c>
      <c r="C3812" s="3" t="str">
        <f>HYPERLINK("https://otsuka-europe-crm.veevavault.com/ui/#object/sent_email__v/VBLZ025E82GIAIT", "SE-000255591")</f>
        <v>SE-000255591</v>
      </c>
      <c r="D3812" s="4">
        <v>45915.430115740739</v>
      </c>
      <c r="E3812" s="5">
        <v>1</v>
      </c>
      <c r="F3812" s="5">
        <v>5</v>
      </c>
      <c r="G3812" s="5">
        <v>0</v>
      </c>
      <c r="H3812" s="4" t="s">
        <v>11</v>
      </c>
      <c r="I3812" s="5">
        <v>0</v>
      </c>
      <c r="J3812" s="4">
        <v>45909.362581018519</v>
      </c>
    </row>
    <row r="3813" spans="1:10" x14ac:dyDescent="0.2">
      <c r="A3813" s="2" t="s">
        <v>10</v>
      </c>
      <c r="B3813" s="3" t="str">
        <f t="shared" si="72"/>
        <v>INVITATION_VAD_2023</v>
      </c>
      <c r="C3813" s="3" t="str">
        <f>HYPERLINK("https://otsuka-europe-crm.veevavault.com/ui/#object/sent_email__v/VBLZ025E82GIR41", "SE-000255615")</f>
        <v>SE-000255615</v>
      </c>
      <c r="D3813" s="4" t="s">
        <v>11</v>
      </c>
      <c r="E3813" s="5">
        <v>0</v>
      </c>
      <c r="F3813" s="5">
        <v>0</v>
      </c>
      <c r="G3813" s="5">
        <v>0</v>
      </c>
      <c r="H3813" s="4" t="s">
        <v>11</v>
      </c>
      <c r="I3813" s="5">
        <v>0</v>
      </c>
      <c r="J3813" s="4">
        <v>45909.537766203706</v>
      </c>
    </row>
    <row r="3814" spans="1:10" x14ac:dyDescent="0.2">
      <c r="A3814" s="2" t="s">
        <v>10</v>
      </c>
      <c r="B3814" s="3" t="str">
        <f t="shared" si="72"/>
        <v>INVITATION_VAD_2023</v>
      </c>
      <c r="C3814" s="3" t="str">
        <f>HYPERLINK("https://otsuka-europe-crm.veevavault.com/ui/#object/sent_email__v/VBLZ025E82GJF9H", "SE-000255650")</f>
        <v>SE-000255650</v>
      </c>
      <c r="D3814" s="4">
        <v>45911.657847222225</v>
      </c>
      <c r="E3814" s="5">
        <v>1</v>
      </c>
      <c r="F3814" s="5">
        <v>2</v>
      </c>
      <c r="G3814" s="5">
        <v>0</v>
      </c>
      <c r="H3814" s="4" t="s">
        <v>11</v>
      </c>
      <c r="I3814" s="5">
        <v>0</v>
      </c>
      <c r="J3814" s="4">
        <v>45910.31695601852</v>
      </c>
    </row>
    <row r="3815" spans="1:10" x14ac:dyDescent="0.2">
      <c r="A3815" s="2" t="s">
        <v>10</v>
      </c>
      <c r="B3815" s="3" t="str">
        <f t="shared" si="72"/>
        <v>INVITATION_VAD_2023</v>
      </c>
      <c r="C3815" s="3" t="str">
        <f>HYPERLINK("https://otsuka-europe-crm.veevavault.com/ui/#object/sent_email__v/VBLZ025E82GJFF1", "SE-000255651")</f>
        <v>SE-000255651</v>
      </c>
      <c r="D3815" s="4">
        <v>45917.420520833337</v>
      </c>
      <c r="E3815" s="5">
        <v>1</v>
      </c>
      <c r="F3815" s="5">
        <v>14</v>
      </c>
      <c r="G3815" s="5">
        <v>0</v>
      </c>
      <c r="H3815" s="4" t="s">
        <v>11</v>
      </c>
      <c r="I3815" s="5">
        <v>0</v>
      </c>
      <c r="J3815" s="4">
        <v>45910.318333333336</v>
      </c>
    </row>
    <row r="3816" spans="1:10" x14ac:dyDescent="0.2">
      <c r="A3816" s="2" t="s">
        <v>10</v>
      </c>
      <c r="B3816" s="3" t="str">
        <f t="shared" si="72"/>
        <v>INVITATION_VAD_2023</v>
      </c>
      <c r="C3816" s="3" t="str">
        <f>HYPERLINK("https://otsuka-europe-crm.veevavault.com/ui/#object/sent_email__v/VBLZ025E82GJHF9", "SE-000255671")</f>
        <v>SE-000255671</v>
      </c>
      <c r="D3816" s="4">
        <v>45910.509895833333</v>
      </c>
      <c r="E3816" s="5">
        <v>1</v>
      </c>
      <c r="F3816" s="5">
        <v>2</v>
      </c>
      <c r="G3816" s="5">
        <v>0</v>
      </c>
      <c r="H3816" s="4" t="s">
        <v>11</v>
      </c>
      <c r="I3816" s="5">
        <v>0</v>
      </c>
      <c r="J3816" s="4">
        <v>45910.358090277776</v>
      </c>
    </row>
    <row r="3817" spans="1:10" x14ac:dyDescent="0.2">
      <c r="A3817" s="2" t="s">
        <v>10</v>
      </c>
      <c r="B3817" s="3" t="str">
        <f t="shared" si="72"/>
        <v>INVITATION_VAD_2023</v>
      </c>
      <c r="C3817" s="3" t="str">
        <f>HYPERLINK("https://otsuka-europe-crm.veevavault.com/ui/#object/sent_email__v/VBLZ025E82GJHVX", "SE-000255672")</f>
        <v>SE-000255672</v>
      </c>
      <c r="D3817" s="4" t="s">
        <v>11</v>
      </c>
      <c r="E3817" s="5">
        <v>0</v>
      </c>
      <c r="F3817" s="5">
        <v>0</v>
      </c>
      <c r="G3817" s="5">
        <v>0</v>
      </c>
      <c r="H3817" s="4" t="s">
        <v>11</v>
      </c>
      <c r="I3817" s="5">
        <v>0</v>
      </c>
      <c r="J3817" s="4">
        <v>45910.369618055556</v>
      </c>
    </row>
    <row r="3818" spans="1:10" x14ac:dyDescent="0.2">
      <c r="A3818" s="2" t="s">
        <v>10</v>
      </c>
      <c r="B3818" s="3" t="str">
        <f t="shared" si="72"/>
        <v>INVITATION_VAD_2023</v>
      </c>
      <c r="C3818" s="3" t="str">
        <f>HYPERLINK("https://otsuka-europe-crm.veevavault.com/ui/#object/sent_email__v/VBLZ025E82GJYJX", "SE-000255703")</f>
        <v>SE-000255703</v>
      </c>
      <c r="D3818" s="4" t="s">
        <v>11</v>
      </c>
      <c r="E3818" s="5">
        <v>0</v>
      </c>
      <c r="F3818" s="5">
        <v>0</v>
      </c>
      <c r="G3818" s="5">
        <v>0</v>
      </c>
      <c r="H3818" s="4" t="s">
        <v>11</v>
      </c>
      <c r="I3818" s="5">
        <v>0</v>
      </c>
      <c r="J3818" s="4">
        <v>45910.579988425925</v>
      </c>
    </row>
    <row r="3819" spans="1:10" x14ac:dyDescent="0.2">
      <c r="A3819" s="2" t="s">
        <v>10</v>
      </c>
      <c r="B3819" s="3" t="str">
        <f t="shared" si="72"/>
        <v>INVITATION_VAD_2023</v>
      </c>
      <c r="C3819" s="3" t="str">
        <f>HYPERLINK("https://otsuka-europe-crm.veevavault.com/ui/#object/sent_email__v/VBLZ025E82GK069", "SE-000255704")</f>
        <v>SE-000255704</v>
      </c>
      <c r="D3819" s="4">
        <v>45911.640636574077</v>
      </c>
      <c r="E3819" s="5">
        <v>1</v>
      </c>
      <c r="F3819" s="5">
        <v>2</v>
      </c>
      <c r="G3819" s="5">
        <v>0</v>
      </c>
      <c r="H3819" s="4" t="s">
        <v>11</v>
      </c>
      <c r="I3819" s="5">
        <v>0</v>
      </c>
      <c r="J3819" s="4">
        <v>45910.602731481478</v>
      </c>
    </row>
    <row r="3820" spans="1:10" x14ac:dyDescent="0.2">
      <c r="A3820" s="2" t="s">
        <v>10</v>
      </c>
      <c r="B3820" s="3" t="str">
        <f t="shared" si="72"/>
        <v>INVITATION_VAD_2023</v>
      </c>
      <c r="C3820" s="3" t="str">
        <f>HYPERLINK("https://otsuka-europe-crm.veevavault.com/ui/#object/sent_email__v/VBLZ025E82GK0BT", "SE-000255705")</f>
        <v>SE-000255705</v>
      </c>
      <c r="D3820" s="4" t="s">
        <v>11</v>
      </c>
      <c r="E3820" s="5">
        <v>0</v>
      </c>
      <c r="F3820" s="5">
        <v>0</v>
      </c>
      <c r="G3820" s="5">
        <v>0</v>
      </c>
      <c r="H3820" s="4" t="s">
        <v>11</v>
      </c>
      <c r="I3820" s="5">
        <v>0</v>
      </c>
      <c r="J3820" s="4">
        <v>45910.604398148149</v>
      </c>
    </row>
    <row r="3821" spans="1:10" x14ac:dyDescent="0.2">
      <c r="A3821" s="2" t="s">
        <v>10</v>
      </c>
      <c r="B3821" s="3" t="str">
        <f t="shared" si="72"/>
        <v>INVITATION_VAD_2023</v>
      </c>
      <c r="C3821" s="3" t="str">
        <f>HYPERLINK("https://otsuka-europe-crm.veevavault.com/ui/#object/sent_email__v/VBLZ025E82GK0V9", "SE-000255706")</f>
        <v>SE-000255706</v>
      </c>
      <c r="D3821" s="4">
        <v>45910.719097222223</v>
      </c>
      <c r="E3821" s="5">
        <v>1</v>
      </c>
      <c r="F3821" s="5">
        <v>7</v>
      </c>
      <c r="G3821" s="5">
        <v>0</v>
      </c>
      <c r="H3821" s="4" t="s">
        <v>11</v>
      </c>
      <c r="I3821" s="5">
        <v>0</v>
      </c>
      <c r="J3821" s="4">
        <v>45910.609212962961</v>
      </c>
    </row>
    <row r="3822" spans="1:10" x14ac:dyDescent="0.2">
      <c r="A3822" s="2" t="s">
        <v>10</v>
      </c>
      <c r="B3822" s="3" t="str">
        <f t="shared" si="72"/>
        <v>INVITATION_VAD_2023</v>
      </c>
      <c r="C3822" s="3" t="str">
        <f>HYPERLINK("https://otsuka-europe-crm.veevavault.com/ui/#object/sent_email__v/VBLZ025E82GK7FD", "SE-000255714")</f>
        <v>SE-000255714</v>
      </c>
      <c r="D3822" s="4" t="s">
        <v>11</v>
      </c>
      <c r="E3822" s="5">
        <v>0</v>
      </c>
      <c r="F3822" s="5">
        <v>0</v>
      </c>
      <c r="G3822" s="5">
        <v>0</v>
      </c>
      <c r="H3822" s="4" t="s">
        <v>11</v>
      </c>
      <c r="I3822" s="5">
        <v>0</v>
      </c>
      <c r="J3822" s="4">
        <v>45910.722581018519</v>
      </c>
    </row>
    <row r="3823" spans="1:10" x14ac:dyDescent="0.2">
      <c r="A3823" s="2" t="s">
        <v>10</v>
      </c>
      <c r="B3823" s="3" t="str">
        <f t="shared" si="72"/>
        <v>INVITATION_VAD_2023</v>
      </c>
      <c r="C3823" s="3" t="str">
        <f>HYPERLINK("https://otsuka-europe-crm.veevavault.com/ui/#object/sent_email__v/VBLZ025E82GK7I5", "SE-000255715")</f>
        <v>SE-000255715</v>
      </c>
      <c r="D3823" s="4">
        <v>45929.607187499998</v>
      </c>
      <c r="E3823" s="5">
        <v>1</v>
      </c>
      <c r="F3823" s="5">
        <v>3</v>
      </c>
      <c r="G3823" s="5">
        <v>0</v>
      </c>
      <c r="H3823" s="4" t="s">
        <v>11</v>
      </c>
      <c r="I3823" s="5">
        <v>0</v>
      </c>
      <c r="J3823" s="4">
        <v>45910.724930555552</v>
      </c>
    </row>
    <row r="3824" spans="1:10" x14ac:dyDescent="0.2">
      <c r="A3824" s="2" t="s">
        <v>10</v>
      </c>
      <c r="B3824" s="3" t="str">
        <f t="shared" si="72"/>
        <v>INVITATION_VAD_2023</v>
      </c>
      <c r="C3824" s="3" t="str">
        <f>HYPERLINK("https://otsuka-europe-crm.veevavault.com/ui/#object/sent_email__v/VBLZ025E82GK8QL", "SE-000255728")</f>
        <v>SE-000255728</v>
      </c>
      <c r="D3824" s="4" t="s">
        <v>11</v>
      </c>
      <c r="E3824" s="5">
        <v>0</v>
      </c>
      <c r="F3824" s="5">
        <v>0</v>
      </c>
      <c r="G3824" s="5">
        <v>0</v>
      </c>
      <c r="H3824" s="4" t="s">
        <v>11</v>
      </c>
      <c r="I3824" s="5">
        <v>0</v>
      </c>
      <c r="J3824" s="4">
        <v>45910.737627314818</v>
      </c>
    </row>
    <row r="3825" spans="1:10" x14ac:dyDescent="0.2">
      <c r="A3825" s="2" t="s">
        <v>10</v>
      </c>
      <c r="B3825" s="3" t="str">
        <f t="shared" si="72"/>
        <v>INVITATION_VAD_2023</v>
      </c>
      <c r="C3825" s="3" t="str">
        <f>HYPERLINK("https://otsuka-europe-crm.veevavault.com/ui/#object/sent_email__v/VBLZ025E82GKBD1", "SE-000255757")</f>
        <v>SE-000255757</v>
      </c>
      <c r="D3825" s="4" t="s">
        <v>11</v>
      </c>
      <c r="E3825" s="5">
        <v>0</v>
      </c>
      <c r="F3825" s="5">
        <v>0</v>
      </c>
      <c r="G3825" s="5">
        <v>0</v>
      </c>
      <c r="H3825" s="4" t="s">
        <v>11</v>
      </c>
      <c r="I3825" s="5">
        <v>0</v>
      </c>
      <c r="J3825" s="4">
        <v>45910.840995370374</v>
      </c>
    </row>
    <row r="3826" spans="1:10" x14ac:dyDescent="0.2">
      <c r="A3826" s="2" t="s">
        <v>10</v>
      </c>
      <c r="B3826" s="3" t="str">
        <f t="shared" si="72"/>
        <v>INVITATION_VAD_2023</v>
      </c>
      <c r="C3826" s="3" t="str">
        <f>HYPERLINK("https://otsuka-europe-crm.veevavault.com/ui/#object/sent_email__v/VBLZ025E82GKLE5", "SE-000255766")</f>
        <v>SE-000255766</v>
      </c>
      <c r="D3826" s="4">
        <v>45967.377939814818</v>
      </c>
      <c r="E3826" s="5">
        <v>1</v>
      </c>
      <c r="F3826" s="5">
        <v>3</v>
      </c>
      <c r="G3826" s="5">
        <v>0</v>
      </c>
      <c r="H3826" s="4" t="s">
        <v>11</v>
      </c>
      <c r="I3826" s="5">
        <v>0</v>
      </c>
      <c r="J3826" s="4">
        <v>45911.422210648147</v>
      </c>
    </row>
    <row r="3827" spans="1:10" x14ac:dyDescent="0.2">
      <c r="A3827" s="2" t="s">
        <v>10</v>
      </c>
      <c r="B3827" s="3" t="str">
        <f t="shared" si="72"/>
        <v>INVITATION_VAD_2023</v>
      </c>
      <c r="C3827" s="3" t="str">
        <f>HYPERLINK("https://otsuka-europe-crm.veevavault.com/ui/#object/sent_email__v/VBLZ025E82GKSN9", "SE-000255808")</f>
        <v>SE-000255808</v>
      </c>
      <c r="D3827" s="4" t="s">
        <v>11</v>
      </c>
      <c r="E3827" s="5">
        <v>0</v>
      </c>
      <c r="F3827" s="5">
        <v>0</v>
      </c>
      <c r="G3827" s="5">
        <v>0</v>
      </c>
      <c r="H3827" s="4" t="s">
        <v>11</v>
      </c>
      <c r="I3827" s="5">
        <v>0</v>
      </c>
      <c r="J3827" s="4">
        <v>45911.460381944446</v>
      </c>
    </row>
    <row r="3828" spans="1:10" x14ac:dyDescent="0.2">
      <c r="A3828" s="2" t="s">
        <v>10</v>
      </c>
      <c r="B3828" s="3" t="str">
        <f t="shared" si="72"/>
        <v>INVITATION_VAD_2023</v>
      </c>
      <c r="C3828" s="3" t="str">
        <f>HYPERLINK("https://otsuka-europe-crm.veevavault.com/ui/#object/sent_email__v/VBLZ025E82GKTKL", "SE-000255814")</f>
        <v>SE-000255814</v>
      </c>
      <c r="D3828" s="4">
        <v>45911.465775462966</v>
      </c>
      <c r="E3828" s="5">
        <v>1</v>
      </c>
      <c r="F3828" s="5">
        <v>1</v>
      </c>
      <c r="G3828" s="5">
        <v>0</v>
      </c>
      <c r="H3828" s="4" t="s">
        <v>11</v>
      </c>
      <c r="I3828" s="5">
        <v>0</v>
      </c>
      <c r="J3828" s="4">
        <v>45911.465520833335</v>
      </c>
    </row>
    <row r="3829" spans="1:10" x14ac:dyDescent="0.2">
      <c r="A3829" s="2" t="s">
        <v>10</v>
      </c>
      <c r="B3829" s="3" t="str">
        <f t="shared" si="72"/>
        <v>INVITATION_VAD_2023</v>
      </c>
      <c r="C3829" s="3" t="str">
        <f>HYPERLINK("https://otsuka-europe-crm.veevavault.com/ui/#object/sent_email__v/VBLZ025E82GKUHX", "SE-000255823")</f>
        <v>SE-000255823</v>
      </c>
      <c r="D3829" s="4" t="s">
        <v>11</v>
      </c>
      <c r="E3829" s="5">
        <v>0</v>
      </c>
      <c r="F3829" s="5">
        <v>0</v>
      </c>
      <c r="G3829" s="5">
        <v>0</v>
      </c>
      <c r="H3829" s="4" t="s">
        <v>11</v>
      </c>
      <c r="I3829" s="5">
        <v>0</v>
      </c>
      <c r="J3829" s="4">
        <v>45911.468182870369</v>
      </c>
    </row>
    <row r="3830" spans="1:10" x14ac:dyDescent="0.2">
      <c r="A3830" s="2" t="s">
        <v>10</v>
      </c>
      <c r="B3830" s="3" t="str">
        <f t="shared" si="72"/>
        <v>INVITATION_VAD_2023</v>
      </c>
      <c r="C3830" s="3" t="str">
        <f>HYPERLINK("https://otsuka-europe-crm.veevavault.com/ui/#object/sent_email__v/VBLZ025E82GL9XH", "SE-000255983")</f>
        <v>SE-000255983</v>
      </c>
      <c r="D3830" s="4">
        <v>45911.644131944442</v>
      </c>
      <c r="E3830" s="5">
        <v>1</v>
      </c>
      <c r="F3830" s="5">
        <v>1</v>
      </c>
      <c r="G3830" s="5">
        <v>0</v>
      </c>
      <c r="H3830" s="4" t="s">
        <v>11</v>
      </c>
      <c r="I3830" s="5">
        <v>0</v>
      </c>
      <c r="J3830" s="4">
        <v>45911.64398148148</v>
      </c>
    </row>
    <row r="3831" spans="1:10" x14ac:dyDescent="0.2">
      <c r="A3831" s="2" t="s">
        <v>10</v>
      </c>
      <c r="B3831" s="3" t="str">
        <f t="shared" si="72"/>
        <v>INVITATION_VAD_2023</v>
      </c>
      <c r="C3831" s="3" t="str">
        <f>HYPERLINK("https://otsuka-europe-crm.veevavault.com/ui/#object/sent_email__v/VBLZ025E82GLH11", "SE-000256002")</f>
        <v>SE-000256002</v>
      </c>
      <c r="D3831" s="4">
        <v>45911.729467592595</v>
      </c>
      <c r="E3831" s="5">
        <v>1</v>
      </c>
      <c r="F3831" s="5">
        <v>1</v>
      </c>
      <c r="G3831" s="5">
        <v>0</v>
      </c>
      <c r="H3831" s="4" t="s">
        <v>11</v>
      </c>
      <c r="I3831" s="5">
        <v>0</v>
      </c>
      <c r="J3831" s="4">
        <v>45911.729363425926</v>
      </c>
    </row>
    <row r="3832" spans="1:10" x14ac:dyDescent="0.2">
      <c r="A3832" s="2" t="s">
        <v>10</v>
      </c>
      <c r="B3832" s="3" t="str">
        <f t="shared" si="72"/>
        <v>INVITATION_VAD_2023</v>
      </c>
      <c r="C3832" s="3" t="str">
        <f>HYPERLINK("https://otsuka-europe-crm.veevavault.com/ui/#object/sent_email__v/VBLZ025E82GNDXL", "SE-000272798")</f>
        <v>SE-000272798</v>
      </c>
      <c r="D3832" s="4" t="s">
        <v>11</v>
      </c>
      <c r="E3832" s="5">
        <v>0</v>
      </c>
      <c r="F3832" s="5">
        <v>0</v>
      </c>
      <c r="G3832" s="5">
        <v>0</v>
      </c>
      <c r="H3832" s="4" t="s">
        <v>11</v>
      </c>
      <c r="I3832" s="5">
        <v>0</v>
      </c>
      <c r="J3832" s="4">
        <v>45915.304861111108</v>
      </c>
    </row>
    <row r="3833" spans="1:10" x14ac:dyDescent="0.2">
      <c r="A3833" s="2" t="s">
        <v>10</v>
      </c>
      <c r="B3833" s="3" t="str">
        <f t="shared" si="72"/>
        <v>INVITATION_VAD_2023</v>
      </c>
      <c r="C3833" s="3" t="str">
        <f>HYPERLINK("https://otsuka-europe-crm.veevavault.com/ui/#object/sent_email__v/VBLZ025E82GNE35", "SE-000272799")</f>
        <v>SE-000272799</v>
      </c>
      <c r="D3833" s="4" t="s">
        <v>11</v>
      </c>
      <c r="E3833" s="5">
        <v>0</v>
      </c>
      <c r="F3833" s="5">
        <v>0</v>
      </c>
      <c r="G3833" s="5">
        <v>0</v>
      </c>
      <c r="H3833" s="4" t="s">
        <v>11</v>
      </c>
      <c r="I3833" s="5">
        <v>0</v>
      </c>
      <c r="J3833" s="4">
        <v>45915.30505787037</v>
      </c>
    </row>
    <row r="3834" spans="1:10" x14ac:dyDescent="0.2">
      <c r="A3834" s="2" t="s">
        <v>10</v>
      </c>
      <c r="B3834" s="3" t="str">
        <f t="shared" si="72"/>
        <v>INVITATION_VAD_2023</v>
      </c>
      <c r="C3834" s="3" t="str">
        <f>HYPERLINK("https://otsuka-europe-crm.veevavault.com/ui/#object/sent_email__v/VBLZ025E82GNE5X", "SE-000272800")</f>
        <v>SE-000272800</v>
      </c>
      <c r="D3834" s="4" t="s">
        <v>11</v>
      </c>
      <c r="E3834" s="5">
        <v>0</v>
      </c>
      <c r="F3834" s="5">
        <v>0</v>
      </c>
      <c r="G3834" s="5">
        <v>0</v>
      </c>
      <c r="H3834" s="4" t="s">
        <v>11</v>
      </c>
      <c r="I3834" s="5">
        <v>0</v>
      </c>
      <c r="J3834" s="4">
        <v>45915.305243055554</v>
      </c>
    </row>
    <row r="3835" spans="1:10" x14ac:dyDescent="0.2">
      <c r="A3835" s="2" t="s">
        <v>10</v>
      </c>
      <c r="B3835" s="3" t="str">
        <f t="shared" si="72"/>
        <v>INVITATION_VAD_2023</v>
      </c>
      <c r="C3835" s="3" t="str">
        <f>HYPERLINK("https://otsuka-europe-crm.veevavault.com/ui/#object/sent_email__v/VBLZ025E82GNE8P", "SE-000272801")</f>
        <v>SE-000272801</v>
      </c>
      <c r="D3835" s="4">
        <v>45960.893009259256</v>
      </c>
      <c r="E3835" s="5">
        <v>1</v>
      </c>
      <c r="F3835" s="5">
        <v>1</v>
      </c>
      <c r="G3835" s="5">
        <v>0</v>
      </c>
      <c r="H3835" s="4" t="s">
        <v>11</v>
      </c>
      <c r="I3835" s="5">
        <v>0</v>
      </c>
      <c r="J3835" s="4">
        <v>45915.305520833332</v>
      </c>
    </row>
    <row r="3836" spans="1:10" x14ac:dyDescent="0.2">
      <c r="A3836" s="2" t="s">
        <v>10</v>
      </c>
      <c r="B3836" s="3" t="str">
        <f t="shared" si="72"/>
        <v>INVITATION_VAD_2023</v>
      </c>
      <c r="C3836" s="3" t="str">
        <f>HYPERLINK("https://otsuka-europe-crm.veevavault.com/ui/#object/sent_email__v/VBLZ025E82GNEBH", "SE-000272802")</f>
        <v>SE-000272802</v>
      </c>
      <c r="D3836" s="4">
        <v>45919.660532407404</v>
      </c>
      <c r="E3836" s="5">
        <v>1</v>
      </c>
      <c r="F3836" s="5">
        <v>4</v>
      </c>
      <c r="G3836" s="5">
        <v>0</v>
      </c>
      <c r="H3836" s="4" t="s">
        <v>11</v>
      </c>
      <c r="I3836" s="5">
        <v>0</v>
      </c>
      <c r="J3836" s="4">
        <v>45915.306087962963</v>
      </c>
    </row>
    <row r="3837" spans="1:10" x14ac:dyDescent="0.2">
      <c r="A3837" s="2" t="s">
        <v>10</v>
      </c>
      <c r="B3837" s="3" t="str">
        <f t="shared" si="72"/>
        <v>INVITATION_VAD_2023</v>
      </c>
      <c r="C3837" s="3" t="str">
        <f>HYPERLINK("https://otsuka-europe-crm.veevavault.com/ui/#object/sent_email__v/VBLZ025E82GNEXP", "SE-000272803")</f>
        <v>SE-000272803</v>
      </c>
      <c r="D3837" s="4">
        <v>45915.436620370368</v>
      </c>
      <c r="E3837" s="5">
        <v>1</v>
      </c>
      <c r="F3837" s="5">
        <v>2</v>
      </c>
      <c r="G3837" s="5">
        <v>0</v>
      </c>
      <c r="H3837" s="4" t="s">
        <v>11</v>
      </c>
      <c r="I3837" s="5">
        <v>0</v>
      </c>
      <c r="J3837" s="4">
        <v>45915.359120370369</v>
      </c>
    </row>
    <row r="3838" spans="1:10" x14ac:dyDescent="0.2">
      <c r="A3838" s="2" t="s">
        <v>10</v>
      </c>
      <c r="B3838" s="3" t="str">
        <f t="shared" si="72"/>
        <v>INVITATION_VAD_2023</v>
      </c>
      <c r="C3838" s="3" t="str">
        <f>HYPERLINK("https://otsuka-europe-crm.veevavault.com/ui/#object/sent_email__v/VBLZ025E82GNFBL", "SE-000272805")</f>
        <v>SE-000272805</v>
      </c>
      <c r="D3838" s="4">
        <v>45915.381157407406</v>
      </c>
      <c r="E3838" s="5">
        <v>1</v>
      </c>
      <c r="F3838" s="5">
        <v>3</v>
      </c>
      <c r="G3838" s="5">
        <v>0</v>
      </c>
      <c r="H3838" s="4" t="s">
        <v>11</v>
      </c>
      <c r="I3838" s="5">
        <v>0</v>
      </c>
      <c r="J3838" s="4">
        <v>45915.367766203701</v>
      </c>
    </row>
    <row r="3839" spans="1:10" x14ac:dyDescent="0.2">
      <c r="A3839" s="2" t="s">
        <v>10</v>
      </c>
      <c r="B3839" s="3" t="str">
        <f t="shared" si="72"/>
        <v>INVITATION_VAD_2023</v>
      </c>
      <c r="C3839" s="3" t="str">
        <f>HYPERLINK("https://otsuka-europe-crm.veevavault.com/ui/#object/sent_email__v/VBLZ025E82GNHBT", "SE-000272809")</f>
        <v>SE-000272809</v>
      </c>
      <c r="D3839" s="4">
        <v>45935.49664351852</v>
      </c>
      <c r="E3839" s="5">
        <v>1</v>
      </c>
      <c r="F3839" s="5">
        <v>3</v>
      </c>
      <c r="G3839" s="5">
        <v>0</v>
      </c>
      <c r="H3839" s="4" t="s">
        <v>11</v>
      </c>
      <c r="I3839" s="5">
        <v>0</v>
      </c>
      <c r="J3839" s="4">
        <v>45915.384386574071</v>
      </c>
    </row>
    <row r="3840" spans="1:10" x14ac:dyDescent="0.2">
      <c r="A3840" s="2" t="s">
        <v>10</v>
      </c>
      <c r="B3840" s="3" t="str">
        <f t="shared" si="72"/>
        <v>INVITATION_VAD_2023</v>
      </c>
      <c r="C3840" s="3" t="str">
        <f>HYPERLINK("https://otsuka-europe-crm.veevavault.com/ui/#object/sent_email__v/VBLZ025E82GP249", "SE-000275650")</f>
        <v>SE-000275650</v>
      </c>
      <c r="D3840" s="4" t="s">
        <v>11</v>
      </c>
      <c r="E3840" s="5">
        <v>0</v>
      </c>
      <c r="F3840" s="5">
        <v>0</v>
      </c>
      <c r="G3840" s="5">
        <v>0</v>
      </c>
      <c r="H3840" s="4" t="s">
        <v>11</v>
      </c>
      <c r="I3840" s="5">
        <v>0</v>
      </c>
      <c r="J3840" s="4">
        <v>45916.37164351852</v>
      </c>
    </row>
    <row r="3841" spans="1:10" x14ac:dyDescent="0.2">
      <c r="A3841" s="2" t="s">
        <v>10</v>
      </c>
      <c r="B3841" s="3" t="str">
        <f t="shared" si="72"/>
        <v>INVITATION_VAD_2023</v>
      </c>
      <c r="C3841" s="3" t="str">
        <f>HYPERLINK("https://otsuka-europe-crm.veevavault.com/ui/#object/sent_email__v/VBLZ025E82GPNHP", "SE-000275665")</f>
        <v>SE-000275665</v>
      </c>
      <c r="D3841" s="4" t="s">
        <v>11</v>
      </c>
      <c r="E3841" s="5">
        <v>0</v>
      </c>
      <c r="F3841" s="5">
        <v>0</v>
      </c>
      <c r="G3841" s="5">
        <v>0</v>
      </c>
      <c r="H3841" s="4" t="s">
        <v>11</v>
      </c>
      <c r="I3841" s="5">
        <v>0</v>
      </c>
      <c r="J3841" s="4">
        <v>45916.545555555553</v>
      </c>
    </row>
    <row r="3842" spans="1:10" x14ac:dyDescent="0.2">
      <c r="A3842" s="2" t="s">
        <v>10</v>
      </c>
      <c r="B3842" s="3" t="str">
        <f t="shared" si="72"/>
        <v>INVITATION_VAD_2023</v>
      </c>
      <c r="C3842" s="3" t="str">
        <f>HYPERLINK("https://otsuka-europe-crm.veevavault.com/ui/#object/sent_email__v/VBLZ025E82GPQVX", "SE-000275678")</f>
        <v>SE-000275678</v>
      </c>
      <c r="D3842" s="4" t="s">
        <v>11</v>
      </c>
      <c r="E3842" s="5">
        <v>0</v>
      </c>
      <c r="F3842" s="5">
        <v>0</v>
      </c>
      <c r="G3842" s="5">
        <v>0</v>
      </c>
      <c r="H3842" s="4" t="s">
        <v>11</v>
      </c>
      <c r="I3842" s="5">
        <v>0</v>
      </c>
      <c r="J3842" s="4">
        <v>45916.567858796298</v>
      </c>
    </row>
    <row r="3843" spans="1:10" x14ac:dyDescent="0.2">
      <c r="A3843" s="2" t="s">
        <v>10</v>
      </c>
      <c r="B3843" s="3" t="str">
        <f t="shared" si="72"/>
        <v>INVITATION_VAD_2023</v>
      </c>
      <c r="C3843" s="3" t="str">
        <f>HYPERLINK("https://otsuka-europe-crm.veevavault.com/ui/#object/sent_email__v/VBLZ025E82GQMLL", "SE-000275739")</f>
        <v>SE-000275739</v>
      </c>
      <c r="D3843" s="4" t="s">
        <v>11</v>
      </c>
      <c r="E3843" s="5">
        <v>0</v>
      </c>
      <c r="F3843" s="5">
        <v>0</v>
      </c>
      <c r="G3843" s="5">
        <v>0</v>
      </c>
      <c r="H3843" s="4" t="s">
        <v>11</v>
      </c>
      <c r="I3843" s="5">
        <v>0</v>
      </c>
      <c r="J3843" s="4">
        <v>45917.291076388887</v>
      </c>
    </row>
    <row r="3844" spans="1:10" x14ac:dyDescent="0.2">
      <c r="A3844" s="2" t="s">
        <v>10</v>
      </c>
      <c r="B3844" s="3" t="str">
        <f t="shared" si="72"/>
        <v>INVITATION_VAD_2023</v>
      </c>
      <c r="C3844" s="3" t="str">
        <f>HYPERLINK("https://otsuka-europe-crm.veevavault.com/ui/#object/sent_email__v/VBLZ025E82GQMOD", "SE-000275740")</f>
        <v>SE-000275740</v>
      </c>
      <c r="D3844" s="4" t="s">
        <v>11</v>
      </c>
      <c r="E3844" s="5">
        <v>0</v>
      </c>
      <c r="F3844" s="5">
        <v>0</v>
      </c>
      <c r="G3844" s="5">
        <v>0</v>
      </c>
      <c r="H3844" s="4" t="s">
        <v>11</v>
      </c>
      <c r="I3844" s="5">
        <v>0</v>
      </c>
      <c r="J3844" s="4">
        <v>45917.291701388887</v>
      </c>
    </row>
    <row r="3845" spans="1:10" x14ac:dyDescent="0.2">
      <c r="A3845" s="2" t="s">
        <v>10</v>
      </c>
      <c r="B3845" s="3" t="str">
        <f t="shared" si="72"/>
        <v>INVITATION_VAD_2023</v>
      </c>
      <c r="C3845" s="3" t="str">
        <f>HYPERLINK("https://otsuka-europe-crm.veevavault.com/ui/#object/sent_email__v/VBLZ025E82GQMR5", "SE-000275741")</f>
        <v>SE-000275741</v>
      </c>
      <c r="D3845" s="4" t="s">
        <v>11</v>
      </c>
      <c r="E3845" s="5">
        <v>0</v>
      </c>
      <c r="F3845" s="5">
        <v>0</v>
      </c>
      <c r="G3845" s="5">
        <v>0</v>
      </c>
      <c r="H3845" s="4" t="s">
        <v>11</v>
      </c>
      <c r="I3845" s="5">
        <v>0</v>
      </c>
      <c r="J3845" s="4">
        <v>45917.291898148149</v>
      </c>
    </row>
    <row r="3846" spans="1:10" x14ac:dyDescent="0.2">
      <c r="A3846" s="2" t="s">
        <v>10</v>
      </c>
      <c r="B3846" s="3" t="str">
        <f t="shared" si="72"/>
        <v>INVITATION_VAD_2023</v>
      </c>
      <c r="C3846" s="3" t="str">
        <f>HYPERLINK("https://otsuka-europe-crm.veevavault.com/ui/#object/sent_email__v/VBLZ025E82GRL61", "SE-000275951")</f>
        <v>SE-000275951</v>
      </c>
      <c r="D3846" s="4">
        <v>45917.647268518522</v>
      </c>
      <c r="E3846" s="5">
        <v>1</v>
      </c>
      <c r="F3846" s="5">
        <v>4</v>
      </c>
      <c r="G3846" s="5">
        <v>0</v>
      </c>
      <c r="H3846" s="4" t="s">
        <v>11</v>
      </c>
      <c r="I3846" s="5">
        <v>0</v>
      </c>
      <c r="J3846" s="4">
        <v>45917.581828703704</v>
      </c>
    </row>
    <row r="3847" spans="1:10" x14ac:dyDescent="0.2">
      <c r="A3847" s="2" t="s">
        <v>10</v>
      </c>
      <c r="B3847" s="3" t="str">
        <f t="shared" si="72"/>
        <v>INVITATION_VAD_2023</v>
      </c>
      <c r="C3847" s="3" t="str">
        <f>HYPERLINK("https://otsuka-europe-crm.veevavault.com/ui/#object/sent_email__v/VBLZ025E82GSGC9", "SE-000276133")</f>
        <v>SE-000276133</v>
      </c>
      <c r="D3847" s="4" t="s">
        <v>11</v>
      </c>
      <c r="E3847" s="5">
        <v>0</v>
      </c>
      <c r="F3847" s="5">
        <v>0</v>
      </c>
      <c r="G3847" s="5">
        <v>0</v>
      </c>
      <c r="H3847" s="4" t="s">
        <v>11</v>
      </c>
      <c r="I3847" s="5">
        <v>0</v>
      </c>
      <c r="J3847" s="4">
        <v>45918.405057870368</v>
      </c>
    </row>
    <row r="3848" spans="1:10" x14ac:dyDescent="0.2">
      <c r="A3848" s="2" t="s">
        <v>10</v>
      </c>
      <c r="B3848" s="3" t="str">
        <f t="shared" si="72"/>
        <v>INVITATION_VAD_2023</v>
      </c>
      <c r="C3848" s="3" t="str">
        <f>HYPERLINK("https://otsuka-europe-crm.veevavault.com/ui/#object/sent_email__v/VBLZ025E82GU4OH", "SE-000276738")</f>
        <v>SE-000276738</v>
      </c>
      <c r="D3848" s="4" t="s">
        <v>11</v>
      </c>
      <c r="E3848" s="5">
        <v>0</v>
      </c>
      <c r="F3848" s="5">
        <v>0</v>
      </c>
      <c r="G3848" s="5">
        <v>0</v>
      </c>
      <c r="H3848" s="4" t="s">
        <v>11</v>
      </c>
      <c r="I3848" s="5">
        <v>0</v>
      </c>
      <c r="J3848" s="4">
        <v>45919.419907407406</v>
      </c>
    </row>
    <row r="3849" spans="1:10" x14ac:dyDescent="0.2">
      <c r="A3849" s="2" t="s">
        <v>10</v>
      </c>
      <c r="B3849" s="3" t="str">
        <f t="shared" si="72"/>
        <v>INVITATION_VAD_2023</v>
      </c>
      <c r="C3849" s="3" t="str">
        <f>HYPERLINK("https://otsuka-europe-crm.veevavault.com/ui/#object/sent_email__v/VBLZ025E82GU4OI", "SE-000276739")</f>
        <v>SE-000276739</v>
      </c>
      <c r="D3849" s="4" t="s">
        <v>11</v>
      </c>
      <c r="E3849" s="5">
        <v>0</v>
      </c>
      <c r="F3849" s="5">
        <v>0</v>
      </c>
      <c r="G3849" s="5">
        <v>0</v>
      </c>
      <c r="H3849" s="4" t="s">
        <v>11</v>
      </c>
      <c r="I3849" s="5">
        <v>0</v>
      </c>
      <c r="J3849" s="4">
        <v>45919.419895833336</v>
      </c>
    </row>
    <row r="3850" spans="1:10" x14ac:dyDescent="0.2">
      <c r="A3850" s="2" t="s">
        <v>10</v>
      </c>
      <c r="B3850" s="3" t="str">
        <f t="shared" si="72"/>
        <v>INVITATION_VAD_2023</v>
      </c>
      <c r="C3850" s="3" t="str">
        <f>HYPERLINK("https://otsuka-europe-crm.veevavault.com/ui/#object/sent_email__v/VBLZ025E82GUB09", "SE-000277182")</f>
        <v>SE-000277182</v>
      </c>
      <c r="D3850" s="4">
        <v>45929.583472222221</v>
      </c>
      <c r="E3850" s="5">
        <v>1</v>
      </c>
      <c r="F3850" s="5">
        <v>2</v>
      </c>
      <c r="G3850" s="5">
        <v>0</v>
      </c>
      <c r="H3850" s="4" t="s">
        <v>11</v>
      </c>
      <c r="I3850" s="5">
        <v>0</v>
      </c>
      <c r="J3850" s="4">
        <v>45919.456782407404</v>
      </c>
    </row>
    <row r="3851" spans="1:10" x14ac:dyDescent="0.2">
      <c r="A3851" s="2" t="s">
        <v>10</v>
      </c>
      <c r="B3851" s="3" t="str">
        <f t="shared" si="72"/>
        <v>INVITATION_VAD_2023</v>
      </c>
      <c r="C3851" s="3" t="str">
        <f>HYPERLINK("https://otsuka-europe-crm.veevavault.com/ui/#object/sent_email__v/VBLZ025E82GUBGX", "SE-000277183")</f>
        <v>SE-000277183</v>
      </c>
      <c r="D3851" s="4" t="s">
        <v>11</v>
      </c>
      <c r="E3851" s="5">
        <v>0</v>
      </c>
      <c r="F3851" s="5">
        <v>0</v>
      </c>
      <c r="G3851" s="5">
        <v>0</v>
      </c>
      <c r="H3851" s="4" t="s">
        <v>11</v>
      </c>
      <c r="I3851" s="5">
        <v>0</v>
      </c>
      <c r="J3851" s="4">
        <v>45919.462418981479</v>
      </c>
    </row>
    <row r="3852" spans="1:10" x14ac:dyDescent="0.2">
      <c r="A3852" s="2" t="s">
        <v>10</v>
      </c>
      <c r="B3852" s="3" t="str">
        <f t="shared" si="72"/>
        <v>INVITATION_VAD_2023</v>
      </c>
      <c r="C3852" s="3" t="str">
        <f>HYPERLINK("https://otsuka-europe-crm.veevavault.com/ui/#object/sent_email__v/VBLZ025E82GU50C", "SE-000277184")</f>
        <v>SE-000277184</v>
      </c>
      <c r="D3852" s="4" t="s">
        <v>11</v>
      </c>
      <c r="E3852" s="5">
        <v>0</v>
      </c>
      <c r="F3852" s="5">
        <v>0</v>
      </c>
      <c r="G3852" s="5">
        <v>0</v>
      </c>
      <c r="H3852" s="4" t="s">
        <v>11</v>
      </c>
      <c r="I3852" s="5">
        <v>0</v>
      </c>
      <c r="J3852" s="4">
        <v>45919.464548611111</v>
      </c>
    </row>
    <row r="3853" spans="1:10" x14ac:dyDescent="0.2">
      <c r="A3853" s="2" t="s">
        <v>10</v>
      </c>
      <c r="B3853" s="3" t="str">
        <f t="shared" si="72"/>
        <v>INVITATION_VAD_2023</v>
      </c>
      <c r="C3853" s="3" t="str">
        <f>HYPERLINK("https://otsuka-europe-crm.veevavault.com/ui/#object/sent_email__v/VBLZ025E82GUDV1", "SE-000277185")</f>
        <v>SE-000277185</v>
      </c>
      <c r="D3853" s="4">
        <v>45919.484942129631</v>
      </c>
      <c r="E3853" s="5">
        <v>1</v>
      </c>
      <c r="F3853" s="5">
        <v>1</v>
      </c>
      <c r="G3853" s="5">
        <v>0</v>
      </c>
      <c r="H3853" s="4" t="s">
        <v>11</v>
      </c>
      <c r="I3853" s="5">
        <v>0</v>
      </c>
      <c r="J3853" s="4">
        <v>45919.478425925925</v>
      </c>
    </row>
    <row r="3854" spans="1:10" x14ac:dyDescent="0.2">
      <c r="A3854" s="2" t="s">
        <v>10</v>
      </c>
      <c r="B3854" s="3" t="str">
        <f t="shared" si="72"/>
        <v>INVITATION_VAD_2023</v>
      </c>
      <c r="C3854" s="3" t="str">
        <f>HYPERLINK("https://otsuka-europe-crm.veevavault.com/ui/#object/sent_email__v/VBLZ025E82GUWJ9", "SE-000277594")</f>
        <v>SE-000277594</v>
      </c>
      <c r="D3854" s="4" t="s">
        <v>11</v>
      </c>
      <c r="E3854" s="5">
        <v>0</v>
      </c>
      <c r="F3854" s="5">
        <v>0</v>
      </c>
      <c r="G3854" s="5">
        <v>0</v>
      </c>
      <c r="H3854" s="4" t="s">
        <v>11</v>
      </c>
      <c r="I3854" s="5">
        <v>0</v>
      </c>
      <c r="J3854" s="4">
        <v>45919.637129629627</v>
      </c>
    </row>
    <row r="3855" spans="1:10" x14ac:dyDescent="0.2">
      <c r="A3855" s="2" t="s">
        <v>10</v>
      </c>
      <c r="B3855" s="3" t="str">
        <f t="shared" si="72"/>
        <v>INVITATION_VAD_2023</v>
      </c>
      <c r="C3855" s="3" t="str">
        <f>HYPERLINK("https://otsuka-europe-crm.veevavault.com/ui/#object/sent_email__v/VBLZ025E82GUWX5", "SE-000277595")</f>
        <v>SE-000277595</v>
      </c>
      <c r="D3855" s="4" t="s">
        <v>11</v>
      </c>
      <c r="E3855" s="5">
        <v>0</v>
      </c>
      <c r="F3855" s="5">
        <v>0</v>
      </c>
      <c r="G3855" s="5">
        <v>0</v>
      </c>
      <c r="H3855" s="4" t="s">
        <v>11</v>
      </c>
      <c r="I3855" s="5">
        <v>0</v>
      </c>
      <c r="J3855" s="4">
        <v>45919.638993055552</v>
      </c>
    </row>
    <row r="3856" spans="1:10" x14ac:dyDescent="0.2">
      <c r="A3856" s="2" t="s">
        <v>10</v>
      </c>
      <c r="B3856" s="3" t="str">
        <f t="shared" si="72"/>
        <v>INVITATION_VAD_2023</v>
      </c>
      <c r="C3856" s="3" t="str">
        <f>HYPERLINK("https://otsuka-europe-crm.veevavault.com/ui/#object/sent_email__v/VBLZ025E82GVNM9", "SE-000279475")</f>
        <v>SE-000279475</v>
      </c>
      <c r="D3856" s="4">
        <v>45959.615694444445</v>
      </c>
      <c r="E3856" s="5">
        <v>1</v>
      </c>
      <c r="F3856" s="5">
        <v>15</v>
      </c>
      <c r="G3856" s="5">
        <v>0</v>
      </c>
      <c r="H3856" s="4" t="s">
        <v>11</v>
      </c>
      <c r="I3856" s="5">
        <v>0</v>
      </c>
      <c r="J3856" s="4">
        <v>45922.387164351851</v>
      </c>
    </row>
    <row r="3857" spans="1:10" x14ac:dyDescent="0.2">
      <c r="A3857" s="2" t="s">
        <v>10</v>
      </c>
      <c r="B3857" s="3" t="str">
        <f t="shared" si="72"/>
        <v>INVITATION_VAD_2023</v>
      </c>
      <c r="C3857" s="3" t="str">
        <f>HYPERLINK("https://otsuka-europe-crm.veevavault.com/ui/#object/sent_email__v/VBLZ025E82GVOB9", "SE-000279478")</f>
        <v>SE-000279478</v>
      </c>
      <c r="D3857" s="4" t="s">
        <v>11</v>
      </c>
      <c r="E3857" s="5">
        <v>0</v>
      </c>
      <c r="F3857" s="5">
        <v>0</v>
      </c>
      <c r="G3857" s="5">
        <v>0</v>
      </c>
      <c r="H3857" s="4" t="s">
        <v>11</v>
      </c>
      <c r="I3857" s="5">
        <v>0</v>
      </c>
      <c r="J3857" s="4">
        <v>45922.40351851852</v>
      </c>
    </row>
    <row r="3858" spans="1:10" x14ac:dyDescent="0.2">
      <c r="A3858" s="2" t="s">
        <v>10</v>
      </c>
      <c r="B3858" s="3" t="str">
        <f t="shared" si="72"/>
        <v>INVITATION_VAD_2023</v>
      </c>
      <c r="C3858" s="3" t="str">
        <f>HYPERLINK("https://otsuka-europe-crm.veevavault.com/ui/#object/sent_email__v/VBLZ025E82GXEW1", "SE-000280182")</f>
        <v>SE-000280182</v>
      </c>
      <c r="D3858" s="4">
        <v>45924.313750000001</v>
      </c>
      <c r="E3858" s="5">
        <v>1</v>
      </c>
      <c r="F3858" s="5">
        <v>3</v>
      </c>
      <c r="G3858" s="5">
        <v>0</v>
      </c>
      <c r="H3858" s="4" t="s">
        <v>11</v>
      </c>
      <c r="I3858" s="5">
        <v>0</v>
      </c>
      <c r="J3858" s="4">
        <v>45923.547824074078</v>
      </c>
    </row>
    <row r="3859" spans="1:10" x14ac:dyDescent="0.2">
      <c r="A3859" s="2" t="s">
        <v>10</v>
      </c>
      <c r="B3859" s="3" t="str">
        <f t="shared" si="72"/>
        <v>INVITATION_VAD_2023</v>
      </c>
      <c r="C3859" s="3" t="str">
        <f>HYPERLINK("https://otsuka-europe-crm.veevavault.com/ui/#object/sent_email__v/VBLZ025E82GXGZ1", "SE-000280187")</f>
        <v>SE-000280187</v>
      </c>
      <c r="D3859" s="4">
        <v>45923.571828703702</v>
      </c>
      <c r="E3859" s="5">
        <v>1</v>
      </c>
      <c r="F3859" s="5">
        <v>2</v>
      </c>
      <c r="G3859" s="5">
        <v>0</v>
      </c>
      <c r="H3859" s="4" t="s">
        <v>11</v>
      </c>
      <c r="I3859" s="5">
        <v>0</v>
      </c>
      <c r="J3859" s="4">
        <v>45923.57167824074</v>
      </c>
    </row>
    <row r="3860" spans="1:10" x14ac:dyDescent="0.2">
      <c r="A3860" s="2" t="s">
        <v>10</v>
      </c>
      <c r="B3860" s="3" t="str">
        <f t="shared" si="72"/>
        <v>INVITATION_VAD_2023</v>
      </c>
      <c r="C3860" s="3" t="str">
        <f>HYPERLINK("https://otsuka-europe-crm.veevavault.com/ui/#object/sent_email__v/VBLZ025E82GXTBH", "SE-000280231")</f>
        <v>SE-000280231</v>
      </c>
      <c r="D3860" s="4">
        <v>45924.401759259257</v>
      </c>
      <c r="E3860" s="5">
        <v>1</v>
      </c>
      <c r="F3860" s="5">
        <v>5</v>
      </c>
      <c r="G3860" s="5">
        <v>0</v>
      </c>
      <c r="H3860" s="4" t="s">
        <v>11</v>
      </c>
      <c r="I3860" s="5">
        <v>0</v>
      </c>
      <c r="J3860" s="4">
        <v>45923.621678240743</v>
      </c>
    </row>
    <row r="3861" spans="1:10" x14ac:dyDescent="0.2">
      <c r="A3861" s="2" t="s">
        <v>10</v>
      </c>
      <c r="B3861" s="3" t="str">
        <f t="shared" si="72"/>
        <v>INVITATION_VAD_2023</v>
      </c>
      <c r="C3861" s="3" t="str">
        <f>HYPERLINK("https://otsuka-europe-crm.veevavault.com/ui/#object/sent_email__v/VBLZ025E82GXTE9", "SE-000280232")</f>
        <v>SE-000280232</v>
      </c>
      <c r="D3861" s="4" t="s">
        <v>11</v>
      </c>
      <c r="E3861" s="5">
        <v>0</v>
      </c>
      <c r="F3861" s="5">
        <v>0</v>
      </c>
      <c r="G3861" s="5">
        <v>0</v>
      </c>
      <c r="H3861" s="4" t="s">
        <v>11</v>
      </c>
      <c r="I3861" s="5">
        <v>0</v>
      </c>
      <c r="J3861" s="4">
        <v>45923.622743055559</v>
      </c>
    </row>
    <row r="3862" spans="1:10" x14ac:dyDescent="0.2">
      <c r="A3862" s="2" t="s">
        <v>10</v>
      </c>
      <c r="B3862" s="3" t="str">
        <f t="shared" si="72"/>
        <v>INVITATION_VAD_2023</v>
      </c>
      <c r="C3862" s="3" t="str">
        <f>HYPERLINK("https://otsuka-europe-crm.veevavault.com/ui/#object/sent_email__v/VBLZ025E82GYB2D", "SE-000280386")</f>
        <v>SE-000280386</v>
      </c>
      <c r="D3862" s="4">
        <v>45924.420520833337</v>
      </c>
      <c r="E3862" s="5">
        <v>1</v>
      </c>
      <c r="F3862" s="5">
        <v>2</v>
      </c>
      <c r="G3862" s="5">
        <v>0</v>
      </c>
      <c r="H3862" s="4" t="s">
        <v>11</v>
      </c>
      <c r="I3862" s="5">
        <v>0</v>
      </c>
      <c r="J3862" s="4">
        <v>45924.420358796298</v>
      </c>
    </row>
    <row r="3863" spans="1:10" x14ac:dyDescent="0.2">
      <c r="A3863" s="2" t="s">
        <v>10</v>
      </c>
      <c r="B3863" s="3" t="str">
        <f t="shared" ref="B3863:B3926" si="73">HYPERLINK("https://otsuka-europe-crm.veevavault.com/ui/#object/approved_document__v/V5OZ04ASG4G02Y6", "INVITATION_VAD_2023")</f>
        <v>INVITATION_VAD_2023</v>
      </c>
      <c r="C3863" s="3" t="str">
        <f>HYPERLINK("https://otsuka-europe-crm.veevavault.com/ui/#object/sent_email__v/VBLZ025E82GYBZP", "SE-000280388")</f>
        <v>SE-000280388</v>
      </c>
      <c r="D3863" s="4">
        <v>45980.785208333335</v>
      </c>
      <c r="E3863" s="5">
        <v>1</v>
      </c>
      <c r="F3863" s="5">
        <v>14</v>
      </c>
      <c r="G3863" s="5">
        <v>0</v>
      </c>
      <c r="H3863" s="4" t="s">
        <v>11</v>
      </c>
      <c r="I3863" s="5">
        <v>0</v>
      </c>
      <c r="J3863" s="4">
        <v>45924.436562499999</v>
      </c>
    </row>
    <row r="3864" spans="1:10" x14ac:dyDescent="0.2">
      <c r="A3864" s="2" t="s">
        <v>10</v>
      </c>
      <c r="B3864" s="3" t="str">
        <f t="shared" si="73"/>
        <v>INVITATION_VAD_2023</v>
      </c>
      <c r="C3864" s="3" t="str">
        <f>HYPERLINK("https://otsuka-europe-crm.veevavault.com/ui/#object/sent_email__v/VBLZ025E82GZJL5", "SE-000280649")</f>
        <v>SE-000280649</v>
      </c>
      <c r="D3864" s="4" t="s">
        <v>11</v>
      </c>
      <c r="E3864" s="5">
        <v>0</v>
      </c>
      <c r="F3864" s="5">
        <v>0</v>
      </c>
      <c r="G3864" s="5">
        <v>0</v>
      </c>
      <c r="H3864" s="4" t="s">
        <v>11</v>
      </c>
      <c r="I3864" s="5">
        <v>0</v>
      </c>
      <c r="J3864" s="4">
        <v>45925.387499999997</v>
      </c>
    </row>
    <row r="3865" spans="1:10" x14ac:dyDescent="0.2">
      <c r="A3865" s="2" t="s">
        <v>10</v>
      </c>
      <c r="B3865" s="3" t="str">
        <f t="shared" si="73"/>
        <v>INVITATION_VAD_2023</v>
      </c>
      <c r="C3865" s="3" t="str">
        <f>HYPERLINK("https://otsuka-europe-crm.veevavault.com/ui/#object/sent_email__v/VBLZ025E82H0GX5", "SE-000280831")</f>
        <v>SE-000280831</v>
      </c>
      <c r="D3865" s="4" t="s">
        <v>11</v>
      </c>
      <c r="E3865" s="5">
        <v>0</v>
      </c>
      <c r="F3865" s="5">
        <v>0</v>
      </c>
      <c r="G3865" s="5">
        <v>0</v>
      </c>
      <c r="H3865" s="4" t="s">
        <v>11</v>
      </c>
      <c r="I3865" s="5">
        <v>0</v>
      </c>
      <c r="J3865" s="4">
        <v>45925.607766203706</v>
      </c>
    </row>
    <row r="3866" spans="1:10" x14ac:dyDescent="0.2">
      <c r="A3866" s="2" t="s">
        <v>10</v>
      </c>
      <c r="B3866" s="3" t="str">
        <f t="shared" si="73"/>
        <v>INVITATION_VAD_2023</v>
      </c>
      <c r="C3866" s="3" t="str">
        <f>HYPERLINK("https://otsuka-europe-crm.veevavault.com/ui/#object/sent_email__v/VBLZ025E82H13U5", "SE-000281023")</f>
        <v>SE-000281023</v>
      </c>
      <c r="D3866" s="4">
        <v>45926.544016203705</v>
      </c>
      <c r="E3866" s="5">
        <v>1</v>
      </c>
      <c r="F3866" s="5">
        <v>9</v>
      </c>
      <c r="G3866" s="5">
        <v>0</v>
      </c>
      <c r="H3866" s="4" t="s">
        <v>11</v>
      </c>
      <c r="I3866" s="5">
        <v>0</v>
      </c>
      <c r="J3866" s="4">
        <v>45926.350370370368</v>
      </c>
    </row>
    <row r="3867" spans="1:10" x14ac:dyDescent="0.2">
      <c r="A3867" s="2" t="s">
        <v>10</v>
      </c>
      <c r="B3867" s="3" t="str">
        <f t="shared" si="73"/>
        <v>INVITATION_VAD_2023</v>
      </c>
      <c r="C3867" s="3" t="str">
        <f>HYPERLINK("https://otsuka-europe-crm.veevavault.com/ui/#object/sent_email__v/VBLZ025E82H15RL", "SE-000281025")</f>
        <v>SE-000281025</v>
      </c>
      <c r="D3867" s="4">
        <v>45926.411423611113</v>
      </c>
      <c r="E3867" s="5">
        <v>1</v>
      </c>
      <c r="F3867" s="5">
        <v>2</v>
      </c>
      <c r="G3867" s="5">
        <v>0</v>
      </c>
      <c r="H3867" s="4" t="s">
        <v>11</v>
      </c>
      <c r="I3867" s="5">
        <v>0</v>
      </c>
      <c r="J3867" s="4">
        <v>45926.387488425928</v>
      </c>
    </row>
    <row r="3868" spans="1:10" x14ac:dyDescent="0.2">
      <c r="A3868" s="2" t="s">
        <v>10</v>
      </c>
      <c r="B3868" s="3" t="str">
        <f t="shared" si="73"/>
        <v>INVITATION_VAD_2023</v>
      </c>
      <c r="C3868" s="3" t="str">
        <f>HYPERLINK("https://otsuka-europe-crm.veevavault.com/ui/#object/sent_email__v/VBLZ025E82H18E1", "SE-000281031")</f>
        <v>SE-000281031</v>
      </c>
      <c r="D3868" s="4" t="s">
        <v>11</v>
      </c>
      <c r="E3868" s="5">
        <v>0</v>
      </c>
      <c r="F3868" s="5">
        <v>0</v>
      </c>
      <c r="G3868" s="5">
        <v>0</v>
      </c>
      <c r="H3868" s="4" t="s">
        <v>11</v>
      </c>
      <c r="I3868" s="5">
        <v>0</v>
      </c>
      <c r="J3868" s="4">
        <v>45926.413032407407</v>
      </c>
    </row>
    <row r="3869" spans="1:10" x14ac:dyDescent="0.2">
      <c r="A3869" s="2" t="s">
        <v>10</v>
      </c>
      <c r="B3869" s="3" t="str">
        <f t="shared" si="73"/>
        <v>INVITATION_VAD_2023</v>
      </c>
      <c r="C3869" s="3" t="str">
        <f>HYPERLINK("https://otsuka-europe-crm.veevavault.com/ui/#object/sent_email__v/VBLZ025E82H1W01", "SE-000281430")</f>
        <v>SE-000281430</v>
      </c>
      <c r="D3869" s="4" t="s">
        <v>11</v>
      </c>
      <c r="E3869" s="5">
        <v>0</v>
      </c>
      <c r="F3869" s="5">
        <v>0</v>
      </c>
      <c r="G3869" s="5">
        <v>0</v>
      </c>
      <c r="H3869" s="4" t="s">
        <v>11</v>
      </c>
      <c r="I3869" s="5">
        <v>0</v>
      </c>
      <c r="J3869" s="4">
        <v>45926.60491898148</v>
      </c>
    </row>
    <row r="3870" spans="1:10" x14ac:dyDescent="0.2">
      <c r="A3870" s="2" t="s">
        <v>10</v>
      </c>
      <c r="B3870" s="3" t="str">
        <f t="shared" si="73"/>
        <v>INVITATION_VAD_2023</v>
      </c>
      <c r="C3870" s="3" t="str">
        <f>HYPERLINK("https://otsuka-europe-crm.veevavault.com/ui/#object/sent_email__v/VBLZ025E82H2L2T", "SE-000281464")</f>
        <v>SE-000281464</v>
      </c>
      <c r="D3870" s="4">
        <v>45929.283796296295</v>
      </c>
      <c r="E3870" s="5">
        <v>1</v>
      </c>
      <c r="F3870" s="5">
        <v>2</v>
      </c>
      <c r="G3870" s="5">
        <v>0</v>
      </c>
      <c r="H3870" s="4" t="s">
        <v>11</v>
      </c>
      <c r="I3870" s="5">
        <v>0</v>
      </c>
      <c r="J3870" s="4">
        <v>45929.283634259256</v>
      </c>
    </row>
    <row r="3871" spans="1:10" x14ac:dyDescent="0.2">
      <c r="A3871" s="2" t="s">
        <v>10</v>
      </c>
      <c r="B3871" s="3" t="str">
        <f t="shared" si="73"/>
        <v>INVITATION_VAD_2023</v>
      </c>
      <c r="C3871" s="3" t="str">
        <f>HYPERLINK("https://otsuka-europe-crm.veevavault.com/ui/#object/sent_email__v/VBLZ025E82H2Q8X", "SE-000281523")</f>
        <v>SE-000281523</v>
      </c>
      <c r="D3871" s="4" t="s">
        <v>11</v>
      </c>
      <c r="E3871" s="5">
        <v>0</v>
      </c>
      <c r="F3871" s="5">
        <v>0</v>
      </c>
      <c r="G3871" s="5">
        <v>0</v>
      </c>
      <c r="H3871" s="4" t="s">
        <v>11</v>
      </c>
      <c r="I3871" s="5">
        <v>0</v>
      </c>
      <c r="J3871" s="4">
        <v>45929.353067129632</v>
      </c>
    </row>
    <row r="3872" spans="1:10" x14ac:dyDescent="0.2">
      <c r="A3872" s="2" t="s">
        <v>10</v>
      </c>
      <c r="B3872" s="3" t="str">
        <f t="shared" si="73"/>
        <v>INVITATION_VAD_2023</v>
      </c>
      <c r="C3872" s="3" t="str">
        <f>HYPERLINK("https://otsuka-europe-crm.veevavault.com/ui/#object/sent_email__v/VBLZ025E82H2U9D", "SE-000281527")</f>
        <v>SE-000281527</v>
      </c>
      <c r="D3872" s="4">
        <v>45929.584861111114</v>
      </c>
      <c r="E3872" s="5">
        <v>1</v>
      </c>
      <c r="F3872" s="5">
        <v>3</v>
      </c>
      <c r="G3872" s="5">
        <v>0</v>
      </c>
      <c r="H3872" s="4" t="s">
        <v>11</v>
      </c>
      <c r="I3872" s="5">
        <v>0</v>
      </c>
      <c r="J3872" s="4">
        <v>45929.403726851851</v>
      </c>
    </row>
    <row r="3873" spans="1:10" x14ac:dyDescent="0.2">
      <c r="A3873" s="2" t="s">
        <v>10</v>
      </c>
      <c r="B3873" s="3" t="str">
        <f t="shared" si="73"/>
        <v>INVITATION_VAD_2023</v>
      </c>
      <c r="C3873" s="3" t="str">
        <f>HYPERLINK("https://otsuka-europe-crm.veevavault.com/ui/#object/sent_email__v/VBLZ025E82H2UN9", "SE-000281528")</f>
        <v>SE-000281528</v>
      </c>
      <c r="D3873" s="4" t="s">
        <v>11</v>
      </c>
      <c r="E3873" s="5">
        <v>0</v>
      </c>
      <c r="F3873" s="5">
        <v>0</v>
      </c>
      <c r="G3873" s="5">
        <v>0</v>
      </c>
      <c r="H3873" s="4" t="s">
        <v>11</v>
      </c>
      <c r="I3873" s="5">
        <v>0</v>
      </c>
      <c r="J3873" s="4">
        <v>45929.409085648149</v>
      </c>
    </row>
    <row r="3874" spans="1:10" x14ac:dyDescent="0.2">
      <c r="A3874" s="2" t="s">
        <v>10</v>
      </c>
      <c r="B3874" s="3" t="str">
        <f t="shared" si="73"/>
        <v>INVITATION_VAD_2023</v>
      </c>
      <c r="C3874" s="3" t="str">
        <f>HYPERLINK("https://otsuka-europe-crm.veevavault.com/ui/#object/sent_email__v/VBLZ025E82H5C2P", "SE-000282291")</f>
        <v>SE-000282291</v>
      </c>
      <c r="D3874" s="4" t="s">
        <v>11</v>
      </c>
      <c r="E3874" s="5">
        <v>0</v>
      </c>
      <c r="F3874" s="5">
        <v>0</v>
      </c>
      <c r="G3874" s="5">
        <v>0</v>
      </c>
      <c r="H3874" s="4" t="s">
        <v>11</v>
      </c>
      <c r="I3874" s="5">
        <v>0</v>
      </c>
      <c r="J3874" s="4">
        <v>45930.608842592592</v>
      </c>
    </row>
    <row r="3875" spans="1:10" x14ac:dyDescent="0.2">
      <c r="A3875" s="2" t="s">
        <v>10</v>
      </c>
      <c r="B3875" s="3" t="str">
        <f t="shared" si="73"/>
        <v>INVITATION_VAD_2023</v>
      </c>
      <c r="C3875" s="3" t="str">
        <f>HYPERLINK("https://otsuka-europe-crm.veevavault.com/ui/#object/sent_email__v/VBLZ025E82H78FT", "SE-000282746")</f>
        <v>SE-000282746</v>
      </c>
      <c r="D3875" s="4">
        <v>45932.47314814815</v>
      </c>
      <c r="E3875" s="5">
        <v>1</v>
      </c>
      <c r="F3875" s="5">
        <v>3</v>
      </c>
      <c r="G3875" s="5">
        <v>0</v>
      </c>
      <c r="H3875" s="4" t="s">
        <v>11</v>
      </c>
      <c r="I3875" s="5">
        <v>0</v>
      </c>
      <c r="J3875" s="4">
        <v>45932.259247685186</v>
      </c>
    </row>
    <row r="3876" spans="1:10" x14ac:dyDescent="0.2">
      <c r="A3876" s="2" t="s">
        <v>10</v>
      </c>
      <c r="B3876" s="3" t="str">
        <f t="shared" si="73"/>
        <v>INVITATION_VAD_2023</v>
      </c>
      <c r="C3876" s="3" t="str">
        <f>HYPERLINK("https://otsuka-europe-crm.veevavault.com/ui/#object/sent_email__v/VBLZ025E82H7GXD", "SE-000282859")</f>
        <v>SE-000282859</v>
      </c>
      <c r="D3876" s="4">
        <v>45933.331122685187</v>
      </c>
      <c r="E3876" s="5">
        <v>1</v>
      </c>
      <c r="F3876" s="5">
        <v>3</v>
      </c>
      <c r="G3876" s="5">
        <v>0</v>
      </c>
      <c r="H3876" s="4" t="s">
        <v>11</v>
      </c>
      <c r="I3876" s="5">
        <v>0</v>
      </c>
      <c r="J3876" s="4">
        <v>45932.39298611111</v>
      </c>
    </row>
    <row r="3877" spans="1:10" x14ac:dyDescent="0.2">
      <c r="A3877" s="2" t="s">
        <v>10</v>
      </c>
      <c r="B3877" s="3" t="str">
        <f t="shared" si="73"/>
        <v>INVITATION_VAD_2023</v>
      </c>
      <c r="C3877" s="3" t="str">
        <f>HYPERLINK("https://otsuka-europe-crm.veevavault.com/ui/#object/sent_email__v/VBLZ025E82H7H05", "SE-000282860")</f>
        <v>SE-000282860</v>
      </c>
      <c r="D3877" s="4">
        <v>45932.396122685182</v>
      </c>
      <c r="E3877" s="5">
        <v>1</v>
      </c>
      <c r="F3877" s="5">
        <v>1</v>
      </c>
      <c r="G3877" s="5">
        <v>0</v>
      </c>
      <c r="H3877" s="4" t="s">
        <v>11</v>
      </c>
      <c r="I3877" s="5">
        <v>0</v>
      </c>
      <c r="J3877" s="4">
        <v>45932.395995370367</v>
      </c>
    </row>
    <row r="3878" spans="1:10" x14ac:dyDescent="0.2">
      <c r="A3878" s="2" t="s">
        <v>10</v>
      </c>
      <c r="B3878" s="3" t="str">
        <f t="shared" si="73"/>
        <v>INVITATION_VAD_2023</v>
      </c>
      <c r="C3878" s="3" t="str">
        <f>HYPERLINK("https://otsuka-europe-crm.veevavault.com/ui/#object/sent_email__v/VBLZ025E82H8KTH", "SE-000283032")</f>
        <v>SE-000283032</v>
      </c>
      <c r="D3878" s="4">
        <v>45933.336180555554</v>
      </c>
      <c r="E3878" s="5">
        <v>1</v>
      </c>
      <c r="F3878" s="5">
        <v>1</v>
      </c>
      <c r="G3878" s="5">
        <v>0</v>
      </c>
      <c r="H3878" s="4" t="s">
        <v>11</v>
      </c>
      <c r="I3878" s="5">
        <v>0</v>
      </c>
      <c r="J3878" s="4">
        <v>45932.699965277781</v>
      </c>
    </row>
    <row r="3879" spans="1:10" x14ac:dyDescent="0.2">
      <c r="A3879" s="2" t="s">
        <v>10</v>
      </c>
      <c r="B3879" s="3" t="str">
        <f t="shared" si="73"/>
        <v>INVITATION_VAD_2023</v>
      </c>
      <c r="C3879" s="3" t="str">
        <f>HYPERLINK("https://otsuka-europe-crm.veevavault.com/ui/#object/sent_email__v/VBLZ025E82HADSD", "SE-000283351")</f>
        <v>SE-000283351</v>
      </c>
      <c r="D3879" s="4" t="s">
        <v>11</v>
      </c>
      <c r="E3879" s="5">
        <v>0</v>
      </c>
      <c r="F3879" s="5">
        <v>0</v>
      </c>
      <c r="G3879" s="5">
        <v>0</v>
      </c>
      <c r="H3879" s="4" t="s">
        <v>11</v>
      </c>
      <c r="I3879" s="5">
        <v>0</v>
      </c>
      <c r="J3879" s="4">
        <v>45933.586481481485</v>
      </c>
    </row>
    <row r="3880" spans="1:10" x14ac:dyDescent="0.2">
      <c r="A3880" s="2" t="s">
        <v>10</v>
      </c>
      <c r="B3880" s="3" t="str">
        <f t="shared" si="73"/>
        <v>INVITATION_VAD_2023</v>
      </c>
      <c r="C3880" s="3" t="str">
        <f>HYPERLINK("https://otsuka-europe-crm.veevavault.com/ui/#object/sent_email__v/VBLZ025E82HB0H1", "SE-000283412")</f>
        <v>SE-000283412</v>
      </c>
      <c r="D3880" s="4">
        <v>45937.426064814812</v>
      </c>
      <c r="E3880" s="5">
        <v>1</v>
      </c>
      <c r="F3880" s="5">
        <v>2</v>
      </c>
      <c r="G3880" s="5">
        <v>0</v>
      </c>
      <c r="H3880" s="4" t="s">
        <v>11</v>
      </c>
      <c r="I3880" s="5">
        <v>0</v>
      </c>
      <c r="J3880" s="4">
        <v>45936.370787037034</v>
      </c>
    </row>
    <row r="3881" spans="1:10" x14ac:dyDescent="0.2">
      <c r="A3881" s="2" t="s">
        <v>10</v>
      </c>
      <c r="B3881" s="3" t="str">
        <f t="shared" si="73"/>
        <v>INVITATION_VAD_2023</v>
      </c>
      <c r="C3881" s="3" t="str">
        <f>HYPERLINK("https://otsuka-europe-crm.veevavault.com/ui/#object/sent_email__v/VBLZ025E82HB0JT", "SE-000283413")</f>
        <v>SE-000283413</v>
      </c>
      <c r="D3881" s="4" t="s">
        <v>11</v>
      </c>
      <c r="E3881" s="5">
        <v>0</v>
      </c>
      <c r="F3881" s="5">
        <v>0</v>
      </c>
      <c r="G3881" s="5">
        <v>0</v>
      </c>
      <c r="H3881" s="4" t="s">
        <v>11</v>
      </c>
      <c r="I3881" s="5">
        <v>0</v>
      </c>
      <c r="J3881" s="4">
        <v>45936.370949074073</v>
      </c>
    </row>
    <row r="3882" spans="1:10" x14ac:dyDescent="0.2">
      <c r="A3882" s="2" t="s">
        <v>10</v>
      </c>
      <c r="B3882" s="3" t="str">
        <f t="shared" si="73"/>
        <v>INVITATION_VAD_2023</v>
      </c>
      <c r="C3882" s="3" t="str">
        <f>HYPERLINK("https://otsuka-europe-crm.veevavault.com/ui/#object/sent_email__v/VBLZ025E82HCH69", "SE-000283653")</f>
        <v>SE-000283653</v>
      </c>
      <c r="D3882" s="4" t="s">
        <v>11</v>
      </c>
      <c r="E3882" s="5">
        <v>0</v>
      </c>
      <c r="F3882" s="5">
        <v>0</v>
      </c>
      <c r="G3882" s="5">
        <v>0</v>
      </c>
      <c r="H3882" s="4" t="s">
        <v>11</v>
      </c>
      <c r="I3882" s="5">
        <v>0</v>
      </c>
      <c r="J3882" s="4">
        <v>45937.307071759256</v>
      </c>
    </row>
    <row r="3883" spans="1:10" x14ac:dyDescent="0.2">
      <c r="A3883" s="2" t="s">
        <v>10</v>
      </c>
      <c r="B3883" s="3" t="str">
        <f t="shared" si="73"/>
        <v>INVITATION_VAD_2023</v>
      </c>
      <c r="C3883" s="3" t="str">
        <f>HYPERLINK("https://otsuka-europe-crm.veevavault.com/ui/#object/sent_email__v/VBLZ025E82HCVLP", "SE-000284166")</f>
        <v>SE-000284166</v>
      </c>
      <c r="D3883" s="4">
        <v>45937.465729166666</v>
      </c>
      <c r="E3883" s="5">
        <v>1</v>
      </c>
      <c r="F3883" s="5">
        <v>1</v>
      </c>
      <c r="G3883" s="5">
        <v>0</v>
      </c>
      <c r="H3883" s="4" t="s">
        <v>11</v>
      </c>
      <c r="I3883" s="5">
        <v>0</v>
      </c>
      <c r="J3883" s="4">
        <v>45937.433865740742</v>
      </c>
    </row>
    <row r="3884" spans="1:10" x14ac:dyDescent="0.2">
      <c r="A3884" s="2" t="s">
        <v>10</v>
      </c>
      <c r="B3884" s="3" t="str">
        <f t="shared" si="73"/>
        <v>INVITATION_VAD_2023</v>
      </c>
      <c r="C3884" s="3" t="str">
        <f>HYPERLINK("https://otsuka-europe-crm.veevavault.com/ui/#object/sent_email__v/VBLZ025E82HEYAL", "SE-000284987")</f>
        <v>SE-000284987</v>
      </c>
      <c r="D3884" s="4">
        <v>45938.606608796297</v>
      </c>
      <c r="E3884" s="5">
        <v>1</v>
      </c>
      <c r="F3884" s="5">
        <v>2</v>
      </c>
      <c r="G3884" s="5">
        <v>0</v>
      </c>
      <c r="H3884" s="4" t="s">
        <v>11</v>
      </c>
      <c r="I3884" s="5">
        <v>0</v>
      </c>
      <c r="J3884" s="4">
        <v>45938.589780092596</v>
      </c>
    </row>
    <row r="3885" spans="1:10" x14ac:dyDescent="0.2">
      <c r="A3885" s="2" t="s">
        <v>10</v>
      </c>
      <c r="B3885" s="3" t="str">
        <f t="shared" si="73"/>
        <v>INVITATION_VAD_2023</v>
      </c>
      <c r="C3885" s="3" t="str">
        <f>HYPERLINK("https://otsuka-europe-crm.veevavault.com/ui/#object/sent_email__v/VBLZ025E82HFCN9", "SE-000285020")</f>
        <v>SE-000285020</v>
      </c>
      <c r="D3885" s="4">
        <v>45938.694178240738</v>
      </c>
      <c r="E3885" s="5">
        <v>1</v>
      </c>
      <c r="F3885" s="5">
        <v>4</v>
      </c>
      <c r="G3885" s="5">
        <v>0</v>
      </c>
      <c r="H3885" s="4" t="s">
        <v>11</v>
      </c>
      <c r="I3885" s="5">
        <v>0</v>
      </c>
      <c r="J3885" s="4">
        <v>45938.682372685187</v>
      </c>
    </row>
    <row r="3886" spans="1:10" x14ac:dyDescent="0.2">
      <c r="A3886" s="2" t="s">
        <v>10</v>
      </c>
      <c r="B3886" s="3" t="str">
        <f t="shared" si="73"/>
        <v>INVITATION_VAD_2023</v>
      </c>
      <c r="C3886" s="3" t="str">
        <f>HYPERLINK("https://otsuka-europe-crm.veevavault.com/ui/#object/sent_email__v/VBLZ025E82HFCST", "SE-000285022")</f>
        <v>SE-000285022</v>
      </c>
      <c r="D3886" s="4">
        <v>45938.693379629629</v>
      </c>
      <c r="E3886" s="5">
        <v>1</v>
      </c>
      <c r="F3886" s="5">
        <v>5</v>
      </c>
      <c r="G3886" s="5">
        <v>0</v>
      </c>
      <c r="H3886" s="4" t="s">
        <v>11</v>
      </c>
      <c r="I3886" s="5">
        <v>0</v>
      </c>
      <c r="J3886" s="4">
        <v>45938.684710648151</v>
      </c>
    </row>
    <row r="3887" spans="1:10" x14ac:dyDescent="0.2">
      <c r="A3887" s="2" t="s">
        <v>10</v>
      </c>
      <c r="B3887" s="3" t="str">
        <f t="shared" si="73"/>
        <v>INVITATION_VAD_2023</v>
      </c>
      <c r="C3887" s="3" t="str">
        <f>HYPERLINK("https://otsuka-europe-crm.veevavault.com/ui/#object/sent_email__v/VBLZ025E82HFET1", "SE-000285026")</f>
        <v>SE-000285026</v>
      </c>
      <c r="D3887" s="4" t="s">
        <v>11</v>
      </c>
      <c r="E3887" s="5">
        <v>0</v>
      </c>
      <c r="F3887" s="5">
        <v>0</v>
      </c>
      <c r="G3887" s="5">
        <v>0</v>
      </c>
      <c r="H3887" s="4" t="s">
        <v>11</v>
      </c>
      <c r="I3887" s="5">
        <v>0</v>
      </c>
      <c r="J3887" s="4">
        <v>45938.7028125</v>
      </c>
    </row>
    <row r="3888" spans="1:10" x14ac:dyDescent="0.2">
      <c r="A3888" s="2" t="s">
        <v>10</v>
      </c>
      <c r="B3888" s="3" t="str">
        <f t="shared" si="73"/>
        <v>INVITATION_VAD_2023</v>
      </c>
      <c r="C3888" s="3" t="str">
        <f>HYPERLINK("https://otsuka-europe-crm.veevavault.com/ui/#object/sent_email__v/VBLZ025E82HFEVT", "SE-000285027")</f>
        <v>SE-000285027</v>
      </c>
      <c r="D3888" s="4" t="s">
        <v>11</v>
      </c>
      <c r="E3888" s="5">
        <v>0</v>
      </c>
      <c r="F3888" s="5">
        <v>0</v>
      </c>
      <c r="G3888" s="5">
        <v>0</v>
      </c>
      <c r="H3888" s="4" t="s">
        <v>11</v>
      </c>
      <c r="I3888" s="5">
        <v>0</v>
      </c>
      <c r="J3888" s="4">
        <v>45938.702905092592</v>
      </c>
    </row>
    <row r="3889" spans="1:10" x14ac:dyDescent="0.2">
      <c r="A3889" s="2" t="s">
        <v>10</v>
      </c>
      <c r="B3889" s="3" t="str">
        <f t="shared" si="73"/>
        <v>INVITATION_VAD_2023</v>
      </c>
      <c r="C3889" s="3" t="str">
        <f>HYPERLINK("https://otsuka-europe-crm.veevavault.com/ui/#object/sent_email__v/VBLZ025E82HFEYM", "SE-000285029")</f>
        <v>SE-000285029</v>
      </c>
      <c r="D3889" s="4">
        <v>45938.711886574078</v>
      </c>
      <c r="E3889" s="5">
        <v>1</v>
      </c>
      <c r="F3889" s="5">
        <v>1</v>
      </c>
      <c r="G3889" s="5">
        <v>0</v>
      </c>
      <c r="H3889" s="4" t="s">
        <v>11</v>
      </c>
      <c r="I3889" s="5">
        <v>0</v>
      </c>
      <c r="J3889" s="4">
        <v>45938.711770833332</v>
      </c>
    </row>
    <row r="3890" spans="1:10" x14ac:dyDescent="0.2">
      <c r="A3890" s="2" t="s">
        <v>10</v>
      </c>
      <c r="B3890" s="3" t="str">
        <f t="shared" si="73"/>
        <v>INVITATION_VAD_2023</v>
      </c>
      <c r="C3890" s="3" t="str">
        <f>HYPERLINK("https://otsuka-europe-crm.veevavault.com/ui/#object/sent_email__v/VBLZ025E82HFP2H", "SE-000285041")</f>
        <v>SE-000285041</v>
      </c>
      <c r="D3890" s="4">
        <v>45939.358506944445</v>
      </c>
      <c r="E3890" s="5">
        <v>1</v>
      </c>
      <c r="F3890" s="5">
        <v>1</v>
      </c>
      <c r="G3890" s="5">
        <v>0</v>
      </c>
      <c r="H3890" s="4" t="s">
        <v>11</v>
      </c>
      <c r="I3890" s="5">
        <v>0</v>
      </c>
      <c r="J3890" s="4">
        <v>45939.342523148145</v>
      </c>
    </row>
    <row r="3891" spans="1:10" x14ac:dyDescent="0.2">
      <c r="A3891" s="2" t="s">
        <v>10</v>
      </c>
      <c r="B3891" s="3" t="str">
        <f t="shared" si="73"/>
        <v>INVITATION_VAD_2023</v>
      </c>
      <c r="C3891" s="3" t="str">
        <f>HYPERLINK("https://otsuka-europe-crm.veevavault.com/ui/#object/sent_email__v/VBLZ025E82HFSM9", "SE-000285072")</f>
        <v>SE-000285072</v>
      </c>
      <c r="D3891" s="4">
        <v>45939.406793981485</v>
      </c>
      <c r="E3891" s="5">
        <v>1</v>
      </c>
      <c r="F3891" s="5">
        <v>2</v>
      </c>
      <c r="G3891" s="5">
        <v>0</v>
      </c>
      <c r="H3891" s="4" t="s">
        <v>11</v>
      </c>
      <c r="I3891" s="5">
        <v>0</v>
      </c>
      <c r="J3891" s="4">
        <v>45939.405046296299</v>
      </c>
    </row>
    <row r="3892" spans="1:10" x14ac:dyDescent="0.2">
      <c r="A3892" s="2" t="s">
        <v>10</v>
      </c>
      <c r="B3892" s="3" t="str">
        <f t="shared" si="73"/>
        <v>INVITATION_VAD_2023</v>
      </c>
      <c r="C3892" s="3" t="str">
        <f>HYPERLINK("https://otsuka-europe-crm.veevavault.com/ui/#object/sent_email__v/VBLZ025E82HFTGT", "SE-000285093")</f>
        <v>SE-000285093</v>
      </c>
      <c r="D3892" s="4" t="s">
        <v>11</v>
      </c>
      <c r="E3892" s="5">
        <v>0</v>
      </c>
      <c r="F3892" s="5">
        <v>0</v>
      </c>
      <c r="G3892" s="5">
        <v>0</v>
      </c>
      <c r="H3892" s="4" t="s">
        <v>11</v>
      </c>
      <c r="I3892" s="5">
        <v>0</v>
      </c>
      <c r="J3892" s="4">
        <v>45939.418738425928</v>
      </c>
    </row>
    <row r="3893" spans="1:10" x14ac:dyDescent="0.2">
      <c r="A3893" s="2" t="s">
        <v>10</v>
      </c>
      <c r="B3893" s="3" t="str">
        <f t="shared" si="73"/>
        <v>INVITATION_VAD_2023</v>
      </c>
      <c r="C3893" s="3" t="str">
        <f>HYPERLINK("https://otsuka-europe-crm.veevavault.com/ui/#object/sent_email__v/VBLZ025E82HG81T", "SE-000285384")</f>
        <v>SE-000285384</v>
      </c>
      <c r="D3893" s="4">
        <v>45939.504108796296</v>
      </c>
      <c r="E3893" s="5">
        <v>1</v>
      </c>
      <c r="F3893" s="5">
        <v>1</v>
      </c>
      <c r="G3893" s="5">
        <v>0</v>
      </c>
      <c r="H3893" s="4" t="s">
        <v>11</v>
      </c>
      <c r="I3893" s="5">
        <v>0</v>
      </c>
      <c r="J3893" s="4">
        <v>45939.493634259263</v>
      </c>
    </row>
    <row r="3894" spans="1:10" x14ac:dyDescent="0.2">
      <c r="A3894" s="2" t="s">
        <v>10</v>
      </c>
      <c r="B3894" s="3" t="str">
        <f t="shared" si="73"/>
        <v>INVITATION_VAD_2023</v>
      </c>
      <c r="C3894" s="3" t="str">
        <f>HYPERLINK("https://otsuka-europe-crm.veevavault.com/ui/#object/sent_email__v/VBLZ025E82HGHP1", "SE-000285410")</f>
        <v>SE-000285410</v>
      </c>
      <c r="D3894" s="4">
        <v>45939.654282407406</v>
      </c>
      <c r="E3894" s="5">
        <v>1</v>
      </c>
      <c r="F3894" s="5">
        <v>2</v>
      </c>
      <c r="G3894" s="5">
        <v>0</v>
      </c>
      <c r="H3894" s="4" t="s">
        <v>11</v>
      </c>
      <c r="I3894" s="5">
        <v>0</v>
      </c>
      <c r="J3894" s="4">
        <v>45939.604942129627</v>
      </c>
    </row>
    <row r="3895" spans="1:10" x14ac:dyDescent="0.2">
      <c r="A3895" s="2" t="s">
        <v>10</v>
      </c>
      <c r="B3895" s="3" t="str">
        <f t="shared" si="73"/>
        <v>INVITATION_VAD_2023</v>
      </c>
      <c r="C3895" s="3" t="str">
        <f>HYPERLINK("https://otsuka-europe-crm.veevavault.com/ui/#object/sent_email__v/VBLZ025E82HICA9", "SE-000286726")</f>
        <v>SE-000286726</v>
      </c>
      <c r="D3895" s="4">
        <v>45943.342847222222</v>
      </c>
      <c r="E3895" s="5">
        <v>1</v>
      </c>
      <c r="F3895" s="5">
        <v>4</v>
      </c>
      <c r="G3895" s="5">
        <v>0</v>
      </c>
      <c r="H3895" s="4" t="s">
        <v>11</v>
      </c>
      <c r="I3895" s="5">
        <v>0</v>
      </c>
      <c r="J3895" s="4">
        <v>45943.335532407407</v>
      </c>
    </row>
    <row r="3896" spans="1:10" x14ac:dyDescent="0.2">
      <c r="A3896" s="2" t="s">
        <v>10</v>
      </c>
      <c r="B3896" s="3" t="str">
        <f t="shared" si="73"/>
        <v>INVITATION_VAD_2023</v>
      </c>
      <c r="C3896" s="3" t="str">
        <f>HYPERLINK("https://otsuka-europe-crm.veevavault.com/ui/#object/sent_email__v/VBLZ025E82HIDO9", "SE-000286774")</f>
        <v>SE-000286774</v>
      </c>
      <c r="D3896" s="4" t="s">
        <v>11</v>
      </c>
      <c r="E3896" s="5">
        <v>0</v>
      </c>
      <c r="F3896" s="5">
        <v>0</v>
      </c>
      <c r="G3896" s="5">
        <v>0</v>
      </c>
      <c r="H3896" s="4" t="s">
        <v>11</v>
      </c>
      <c r="I3896" s="5">
        <v>0</v>
      </c>
      <c r="J3896" s="4">
        <v>45943.371087962965</v>
      </c>
    </row>
    <row r="3897" spans="1:10" x14ac:dyDescent="0.2">
      <c r="A3897" s="2" t="s">
        <v>10</v>
      </c>
      <c r="B3897" s="3" t="str">
        <f t="shared" si="73"/>
        <v>INVITATION_VAD_2023</v>
      </c>
      <c r="C3897" s="3" t="str">
        <f>HYPERLINK("https://otsuka-europe-crm.veevavault.com/ui/#object/sent_email__v/VBLZ025E82HIDR1", "SE-000286775")</f>
        <v>SE-000286775</v>
      </c>
      <c r="D3897" s="4" t="s">
        <v>11</v>
      </c>
      <c r="E3897" s="5">
        <v>0</v>
      </c>
      <c r="F3897" s="5">
        <v>0</v>
      </c>
      <c r="G3897" s="5">
        <v>0</v>
      </c>
      <c r="H3897" s="4" t="s">
        <v>11</v>
      </c>
      <c r="I3897" s="5">
        <v>0</v>
      </c>
      <c r="J3897" s="4">
        <v>45943.37127314815</v>
      </c>
    </row>
    <row r="3898" spans="1:10" x14ac:dyDescent="0.2">
      <c r="A3898" s="2" t="s">
        <v>10</v>
      </c>
      <c r="B3898" s="3" t="str">
        <f t="shared" si="73"/>
        <v>INVITATION_VAD_2023</v>
      </c>
      <c r="C3898" s="3" t="str">
        <f>HYPERLINK("https://otsuka-europe-crm.veevavault.com/ui/#object/sent_email__v/VBLZ025E82HINBH", "SE-000286787")</f>
        <v>SE-000286787</v>
      </c>
      <c r="D3898" s="4" t="s">
        <v>11</v>
      </c>
      <c r="E3898" s="5">
        <v>0</v>
      </c>
      <c r="F3898" s="5">
        <v>0</v>
      </c>
      <c r="G3898" s="5">
        <v>0</v>
      </c>
      <c r="H3898" s="4" t="s">
        <v>11</v>
      </c>
      <c r="I3898" s="5">
        <v>0</v>
      </c>
      <c r="J3898" s="4">
        <v>45943.446631944447</v>
      </c>
    </row>
    <row r="3899" spans="1:10" x14ac:dyDescent="0.2">
      <c r="A3899" s="2" t="s">
        <v>10</v>
      </c>
      <c r="B3899" s="3" t="str">
        <f t="shared" si="73"/>
        <v>INVITATION_VAD_2023</v>
      </c>
      <c r="C3899" s="3" t="str">
        <f>HYPERLINK("https://otsuka-europe-crm.veevavault.com/ui/#object/sent_email__v/VBLZ025E82HINE9", "SE-000286788")</f>
        <v>SE-000286788</v>
      </c>
      <c r="D3899" s="4" t="s">
        <v>11</v>
      </c>
      <c r="E3899" s="5">
        <v>0</v>
      </c>
      <c r="F3899" s="5">
        <v>0</v>
      </c>
      <c r="G3899" s="5">
        <v>0</v>
      </c>
      <c r="H3899" s="4" t="s">
        <v>11</v>
      </c>
      <c r="I3899" s="5">
        <v>0</v>
      </c>
      <c r="J3899" s="4">
        <v>45943.447546296295</v>
      </c>
    </row>
    <row r="3900" spans="1:10" x14ac:dyDescent="0.2">
      <c r="A3900" s="2" t="s">
        <v>10</v>
      </c>
      <c r="B3900" s="3" t="str">
        <f t="shared" si="73"/>
        <v>INVITATION_VAD_2023</v>
      </c>
      <c r="C3900" s="3" t="str">
        <f>HYPERLINK("https://otsuka-europe-crm.veevavault.com/ui/#object/sent_email__v/VBLZ025E82HIP8X", "SE-000286792")</f>
        <v>SE-000286792</v>
      </c>
      <c r="D3900" s="4">
        <v>45943.471435185187</v>
      </c>
      <c r="E3900" s="5">
        <v>1</v>
      </c>
      <c r="F3900" s="5">
        <v>2</v>
      </c>
      <c r="G3900" s="5">
        <v>0</v>
      </c>
      <c r="H3900" s="4" t="s">
        <v>11</v>
      </c>
      <c r="I3900" s="5">
        <v>0</v>
      </c>
      <c r="J3900" s="4">
        <v>45943.4684375</v>
      </c>
    </row>
    <row r="3901" spans="1:10" x14ac:dyDescent="0.2">
      <c r="A3901" s="2" t="s">
        <v>10</v>
      </c>
      <c r="B3901" s="3" t="str">
        <f t="shared" si="73"/>
        <v>INVITATION_VAD_2023</v>
      </c>
      <c r="C3901" s="3" t="str">
        <f>HYPERLINK("https://otsuka-europe-crm.veevavault.com/ui/#object/sent_email__v/VBLZ025E82HIPK1", "SE-000286795")</f>
        <v>SE-000286795</v>
      </c>
      <c r="D3901" s="4">
        <v>45996.595891203702</v>
      </c>
      <c r="E3901" s="5">
        <v>1</v>
      </c>
      <c r="F3901" s="5">
        <v>4</v>
      </c>
      <c r="G3901" s="5">
        <v>0</v>
      </c>
      <c r="H3901" s="4" t="s">
        <v>11</v>
      </c>
      <c r="I3901" s="5">
        <v>0</v>
      </c>
      <c r="J3901" s="4">
        <v>45943.469467592593</v>
      </c>
    </row>
    <row r="3902" spans="1:10" x14ac:dyDescent="0.2">
      <c r="A3902" s="2" t="s">
        <v>10</v>
      </c>
      <c r="B3902" s="3" t="str">
        <f t="shared" si="73"/>
        <v>INVITATION_VAD_2023</v>
      </c>
      <c r="C3902" s="3" t="str">
        <f>HYPERLINK("https://otsuka-europe-crm.veevavault.com/ui/#object/sent_email__v/VBLZ025E82HISSP", "SE-000286801")</f>
        <v>SE-000286801</v>
      </c>
      <c r="D3902" s="4" t="s">
        <v>11</v>
      </c>
      <c r="E3902" s="5">
        <v>0</v>
      </c>
      <c r="F3902" s="5">
        <v>0</v>
      </c>
      <c r="G3902" s="5">
        <v>0</v>
      </c>
      <c r="H3902" s="4" t="s">
        <v>11</v>
      </c>
      <c r="I3902" s="5">
        <v>0</v>
      </c>
      <c r="J3902" s="4">
        <v>45943.491423611114</v>
      </c>
    </row>
    <row r="3903" spans="1:10" x14ac:dyDescent="0.2">
      <c r="A3903" s="2" t="s">
        <v>10</v>
      </c>
      <c r="B3903" s="3" t="str">
        <f t="shared" si="73"/>
        <v>INVITATION_VAD_2023</v>
      </c>
      <c r="C3903" s="3" t="str">
        <f>HYPERLINK("https://otsuka-europe-crm.veevavault.com/ui/#object/sent_email__v/VBLZ025E82HISVH", "SE-000286802")</f>
        <v>SE-000286802</v>
      </c>
      <c r="D3903" s="4" t="s">
        <v>11</v>
      </c>
      <c r="E3903" s="5">
        <v>0</v>
      </c>
      <c r="F3903" s="5">
        <v>0</v>
      </c>
      <c r="G3903" s="5">
        <v>0</v>
      </c>
      <c r="H3903" s="4" t="s">
        <v>11</v>
      </c>
      <c r="I3903" s="5">
        <v>0</v>
      </c>
      <c r="J3903" s="4">
        <v>45943.491446759261</v>
      </c>
    </row>
    <row r="3904" spans="1:10" x14ac:dyDescent="0.2">
      <c r="A3904" s="2" t="s">
        <v>10</v>
      </c>
      <c r="B3904" s="3" t="str">
        <f t="shared" si="73"/>
        <v>INVITATION_VAD_2023</v>
      </c>
      <c r="C3904" s="3" t="str">
        <f>HYPERLINK("https://otsuka-europe-crm.veevavault.com/ui/#object/sent_email__v/VBLZ025E82HISY9", "SE-000286803")</f>
        <v>SE-000286803</v>
      </c>
      <c r="D3904" s="4" t="s">
        <v>11</v>
      </c>
      <c r="E3904" s="5">
        <v>0</v>
      </c>
      <c r="F3904" s="5">
        <v>0</v>
      </c>
      <c r="G3904" s="5">
        <v>0</v>
      </c>
      <c r="H3904" s="4" t="s">
        <v>11</v>
      </c>
      <c r="I3904" s="5">
        <v>0</v>
      </c>
      <c r="J3904" s="4">
        <v>45943.491527777776</v>
      </c>
    </row>
    <row r="3905" spans="1:10" x14ac:dyDescent="0.2">
      <c r="A3905" s="2" t="s">
        <v>10</v>
      </c>
      <c r="B3905" s="3" t="str">
        <f t="shared" si="73"/>
        <v>INVITATION_VAD_2023</v>
      </c>
      <c r="C3905" s="3" t="str">
        <f>HYPERLINK("https://otsuka-europe-crm.veevavault.com/ui/#object/sent_email__v/VBLZ025E82HJEK1", "SE-000286851")</f>
        <v>SE-000286851</v>
      </c>
      <c r="D3905" s="4" t="s">
        <v>11</v>
      </c>
      <c r="E3905" s="5">
        <v>0</v>
      </c>
      <c r="F3905" s="5">
        <v>0</v>
      </c>
      <c r="G3905" s="5">
        <v>0</v>
      </c>
      <c r="H3905" s="4" t="s">
        <v>11</v>
      </c>
      <c r="I3905" s="5">
        <v>0</v>
      </c>
      <c r="J3905" s="4">
        <v>45943.743402777778</v>
      </c>
    </row>
    <row r="3906" spans="1:10" x14ac:dyDescent="0.2">
      <c r="A3906" s="2" t="s">
        <v>10</v>
      </c>
      <c r="B3906" s="3" t="str">
        <f t="shared" si="73"/>
        <v>INVITATION_VAD_2023</v>
      </c>
      <c r="C3906" s="3" t="str">
        <f>HYPERLINK("https://otsuka-europe-crm.veevavault.com/ui/#object/sent_email__v/VBLZ025E82HJTG5", "SE-000286997")</f>
        <v>SE-000286997</v>
      </c>
      <c r="D3906" s="4" t="s">
        <v>11</v>
      </c>
      <c r="E3906" s="5">
        <v>0</v>
      </c>
      <c r="F3906" s="5">
        <v>0</v>
      </c>
      <c r="G3906" s="5">
        <v>0</v>
      </c>
      <c r="H3906" s="4" t="s">
        <v>11</v>
      </c>
      <c r="I3906" s="5">
        <v>0</v>
      </c>
      <c r="J3906" s="4">
        <v>45944.428912037038</v>
      </c>
    </row>
    <row r="3907" spans="1:10" x14ac:dyDescent="0.2">
      <c r="A3907" s="2" t="s">
        <v>10</v>
      </c>
      <c r="B3907" s="3" t="str">
        <f t="shared" si="73"/>
        <v>INVITATION_VAD_2023</v>
      </c>
      <c r="C3907" s="3" t="str">
        <f>HYPERLINK("https://otsuka-europe-crm.veevavault.com/ui/#object/sent_email__v/VBLZ025E82HJUDH", "SE-000286999")</f>
        <v>SE-000286999</v>
      </c>
      <c r="D3907" s="4">
        <v>45946.371574074074</v>
      </c>
      <c r="E3907" s="5">
        <v>1</v>
      </c>
      <c r="F3907" s="5">
        <v>1</v>
      </c>
      <c r="G3907" s="5">
        <v>0</v>
      </c>
      <c r="H3907" s="4" t="s">
        <v>11</v>
      </c>
      <c r="I3907" s="5">
        <v>0</v>
      </c>
      <c r="J3907" s="4">
        <v>45944.440740740742</v>
      </c>
    </row>
    <row r="3908" spans="1:10" x14ac:dyDescent="0.2">
      <c r="A3908" s="2" t="s">
        <v>10</v>
      </c>
      <c r="B3908" s="3" t="str">
        <f t="shared" si="73"/>
        <v>INVITATION_VAD_2023</v>
      </c>
      <c r="C3908" s="3" t="str">
        <f>HYPERLINK("https://otsuka-europe-crm.veevavault.com/ui/#object/sent_email__v/VBLZ025E82HK20H", "SE-000287165")</f>
        <v>SE-000287165</v>
      </c>
      <c r="D3908" s="4">
        <v>46003.423321759263</v>
      </c>
      <c r="E3908" s="5">
        <v>1</v>
      </c>
      <c r="F3908" s="5">
        <v>5</v>
      </c>
      <c r="G3908" s="5">
        <v>0</v>
      </c>
      <c r="H3908" s="4" t="s">
        <v>11</v>
      </c>
      <c r="I3908" s="5">
        <v>0</v>
      </c>
      <c r="J3908" s="4">
        <v>45944.501793981479</v>
      </c>
    </row>
    <row r="3909" spans="1:10" x14ac:dyDescent="0.2">
      <c r="A3909" s="2" t="s">
        <v>10</v>
      </c>
      <c r="B3909" s="3" t="str">
        <f t="shared" si="73"/>
        <v>INVITATION_VAD_2023</v>
      </c>
      <c r="C3909" s="3" t="str">
        <f>HYPERLINK("https://otsuka-europe-crm.veevavault.com/ui/#object/sent_email__v/VBLZ025E82HL7U1", "SE-000287807")</f>
        <v>SE-000287807</v>
      </c>
      <c r="D3909" s="4" t="s">
        <v>11</v>
      </c>
      <c r="E3909" s="5">
        <v>0</v>
      </c>
      <c r="F3909" s="5">
        <v>0</v>
      </c>
      <c r="G3909" s="5">
        <v>0</v>
      </c>
      <c r="H3909" s="4" t="s">
        <v>11</v>
      </c>
      <c r="I3909" s="5">
        <v>0</v>
      </c>
      <c r="J3909" s="4">
        <v>45945.500833333332</v>
      </c>
    </row>
    <row r="3910" spans="1:10" x14ac:dyDescent="0.2">
      <c r="A3910" s="2" t="s">
        <v>10</v>
      </c>
      <c r="B3910" s="3" t="str">
        <f t="shared" si="73"/>
        <v>INVITATION_VAD_2023</v>
      </c>
      <c r="C3910" s="3" t="str">
        <f>HYPERLINK("https://otsuka-europe-crm.veevavault.com/ui/#object/sent_email__v/VBLZ025E82HLYLX", "SE-000287876")</f>
        <v>SE-000287876</v>
      </c>
      <c r="D3910" s="4">
        <v>45946.496238425927</v>
      </c>
      <c r="E3910" s="5">
        <v>1</v>
      </c>
      <c r="F3910" s="5">
        <v>5</v>
      </c>
      <c r="G3910" s="5">
        <v>0</v>
      </c>
      <c r="H3910" s="4" t="s">
        <v>11</v>
      </c>
      <c r="I3910" s="5">
        <v>0</v>
      </c>
      <c r="J3910" s="4">
        <v>45946.349108796298</v>
      </c>
    </row>
    <row r="3911" spans="1:10" x14ac:dyDescent="0.2">
      <c r="A3911" s="2" t="s">
        <v>10</v>
      </c>
      <c r="B3911" s="3" t="str">
        <f t="shared" si="73"/>
        <v>INVITATION_VAD_2023</v>
      </c>
      <c r="C3911" s="3" t="str">
        <f>HYPERLINK("https://otsuka-europe-crm.veevavault.com/ui/#object/sent_email__v/VBLZ025E82HM35T", "SE-000287892")</f>
        <v>SE-000287892</v>
      </c>
      <c r="D3911" s="4" t="s">
        <v>11</v>
      </c>
      <c r="E3911" s="5">
        <v>0</v>
      </c>
      <c r="F3911" s="5">
        <v>0</v>
      </c>
      <c r="G3911" s="5">
        <v>0</v>
      </c>
      <c r="H3911" s="4" t="s">
        <v>11</v>
      </c>
      <c r="I3911" s="5">
        <v>0</v>
      </c>
      <c r="J3911" s="4">
        <v>45946.4059375</v>
      </c>
    </row>
    <row r="3912" spans="1:10" x14ac:dyDescent="0.2">
      <c r="A3912" s="2" t="s">
        <v>10</v>
      </c>
      <c r="B3912" s="3" t="str">
        <f t="shared" si="73"/>
        <v>INVITATION_VAD_2023</v>
      </c>
      <c r="C3912" s="3" t="str">
        <f>HYPERLINK("https://otsuka-europe-crm.veevavault.com/ui/#object/sent_email__v/VBLZ025E82HM96H", "SE-000287904")</f>
        <v>SE-000287904</v>
      </c>
      <c r="D3912" s="4">
        <v>46017.6328125</v>
      </c>
      <c r="E3912" s="5">
        <v>1</v>
      </c>
      <c r="F3912" s="5">
        <v>12</v>
      </c>
      <c r="G3912" s="5">
        <v>0</v>
      </c>
      <c r="H3912" s="4" t="s">
        <v>11</v>
      </c>
      <c r="I3912" s="5">
        <v>0</v>
      </c>
      <c r="J3912" s="4">
        <v>45946.45107638889</v>
      </c>
    </row>
    <row r="3913" spans="1:10" x14ac:dyDescent="0.2">
      <c r="A3913" s="2" t="s">
        <v>10</v>
      </c>
      <c r="B3913" s="3" t="str">
        <f t="shared" si="73"/>
        <v>INVITATION_VAD_2023</v>
      </c>
      <c r="C3913" s="3" t="str">
        <f>HYPERLINK("https://otsuka-europe-crm.veevavault.com/ui/#object/sent_email__v/VBLZ025E82HMKAH", "SE-000287932")</f>
        <v>SE-000287932</v>
      </c>
      <c r="D3913" s="4">
        <v>45947.392337962963</v>
      </c>
      <c r="E3913" s="5">
        <v>1</v>
      </c>
      <c r="F3913" s="5">
        <v>8</v>
      </c>
      <c r="G3913" s="5">
        <v>0</v>
      </c>
      <c r="H3913" s="4" t="s">
        <v>11</v>
      </c>
      <c r="I3913" s="5">
        <v>0</v>
      </c>
      <c r="J3913" s="4">
        <v>45946.56355324074</v>
      </c>
    </row>
    <row r="3914" spans="1:10" x14ac:dyDescent="0.2">
      <c r="A3914" s="2" t="s">
        <v>10</v>
      </c>
      <c r="B3914" s="3" t="str">
        <f t="shared" si="73"/>
        <v>INVITATION_VAD_2023</v>
      </c>
      <c r="C3914" s="3" t="str">
        <f>HYPERLINK("https://otsuka-europe-crm.veevavault.com/ui/#object/sent_email__v/VBLZ025E82HNF8D", "SE-000287998")</f>
        <v>SE-000287998</v>
      </c>
      <c r="D3914" s="4">
        <v>45947.459918981483</v>
      </c>
      <c r="E3914" s="5">
        <v>1</v>
      </c>
      <c r="F3914" s="5">
        <v>2</v>
      </c>
      <c r="G3914" s="5">
        <v>0</v>
      </c>
      <c r="H3914" s="4" t="s">
        <v>11</v>
      </c>
      <c r="I3914" s="5">
        <v>0</v>
      </c>
      <c r="J3914" s="4">
        <v>45947.459756944445</v>
      </c>
    </row>
    <row r="3915" spans="1:10" x14ac:dyDescent="0.2">
      <c r="A3915" s="2" t="s">
        <v>10</v>
      </c>
      <c r="B3915" s="3" t="str">
        <f t="shared" si="73"/>
        <v>INVITATION_VAD_2023</v>
      </c>
      <c r="C3915" s="3" t="str">
        <f>HYPERLINK("https://otsuka-europe-crm.veevavault.com/ui/#object/sent_email__v/VBLZ025E82HNK0L", "SE-000288003")</f>
        <v>SE-000288003</v>
      </c>
      <c r="D3915" s="4">
        <v>45947.528553240743</v>
      </c>
      <c r="E3915" s="5">
        <v>1</v>
      </c>
      <c r="F3915" s="5">
        <v>5</v>
      </c>
      <c r="G3915" s="5">
        <v>0</v>
      </c>
      <c r="H3915" s="4" t="s">
        <v>11</v>
      </c>
      <c r="I3915" s="5">
        <v>0</v>
      </c>
      <c r="J3915" s="4">
        <v>45947.503993055558</v>
      </c>
    </row>
    <row r="3916" spans="1:10" x14ac:dyDescent="0.2">
      <c r="A3916" s="2" t="s">
        <v>10</v>
      </c>
      <c r="B3916" s="3" t="str">
        <f t="shared" si="73"/>
        <v>INVITATION_VAD_2023</v>
      </c>
      <c r="C3916" s="3" t="str">
        <f>HYPERLINK("https://otsuka-europe-crm.veevavault.com/ui/#object/sent_email__v/VBLZ025E82HNPQ5", "SE-000288028")</f>
        <v>SE-000288028</v>
      </c>
      <c r="D3916" s="4">
        <v>45978.585810185185</v>
      </c>
      <c r="E3916" s="5">
        <v>1</v>
      </c>
      <c r="F3916" s="5">
        <v>2</v>
      </c>
      <c r="G3916" s="5">
        <v>0</v>
      </c>
      <c r="H3916" s="4" t="s">
        <v>11</v>
      </c>
      <c r="I3916" s="5">
        <v>0</v>
      </c>
      <c r="J3916" s="4">
        <v>45947.565069444441</v>
      </c>
    </row>
    <row r="3917" spans="1:10" x14ac:dyDescent="0.2">
      <c r="A3917" s="2" t="s">
        <v>10</v>
      </c>
      <c r="B3917" s="3" t="str">
        <f t="shared" si="73"/>
        <v>INVITATION_VAD_2023</v>
      </c>
      <c r="C3917" s="3" t="str">
        <f>HYPERLINK("https://otsuka-europe-crm.veevavault.com/ui/#object/sent_email__v/VBLZ025E82HNPSX", "SE-000288029")</f>
        <v>SE-000288029</v>
      </c>
      <c r="D3917" s="4">
        <v>45978.585798611108</v>
      </c>
      <c r="E3917" s="5">
        <v>1</v>
      </c>
      <c r="F3917" s="5">
        <v>2</v>
      </c>
      <c r="G3917" s="5">
        <v>0</v>
      </c>
      <c r="H3917" s="4" t="s">
        <v>11</v>
      </c>
      <c r="I3917" s="5">
        <v>0</v>
      </c>
      <c r="J3917" s="4">
        <v>45947.566076388888</v>
      </c>
    </row>
    <row r="3918" spans="1:10" x14ac:dyDescent="0.2">
      <c r="A3918" s="2" t="s">
        <v>10</v>
      </c>
      <c r="B3918" s="3" t="str">
        <f t="shared" si="73"/>
        <v>INVITATION_VAD_2023</v>
      </c>
      <c r="C3918" s="3" t="str">
        <f>HYPERLINK("https://otsuka-europe-crm.veevavault.com/ui/#object/sent_email__v/VBLZ025E82HOICP", "SE-000288134")</f>
        <v>SE-000288134</v>
      </c>
      <c r="D3918" s="4" t="s">
        <v>11</v>
      </c>
      <c r="E3918" s="5">
        <v>0</v>
      </c>
      <c r="F3918" s="5">
        <v>0</v>
      </c>
      <c r="G3918" s="5">
        <v>0</v>
      </c>
      <c r="H3918" s="4" t="s">
        <v>11</v>
      </c>
      <c r="I3918" s="5">
        <v>0</v>
      </c>
      <c r="J3918" s="4">
        <v>45950.375324074077</v>
      </c>
    </row>
    <row r="3919" spans="1:10" x14ac:dyDescent="0.2">
      <c r="A3919" s="2" t="s">
        <v>10</v>
      </c>
      <c r="B3919" s="3" t="str">
        <f t="shared" si="73"/>
        <v>INVITATION_VAD_2023</v>
      </c>
      <c r="C3919" s="3" t="str">
        <f>HYPERLINK("https://otsuka-europe-crm.veevavault.com/ui/#object/sent_email__v/VBLZ025E82HOSX9", "SE-000288473")</f>
        <v>SE-000288473</v>
      </c>
      <c r="D3919" s="4">
        <v>45951.373692129629</v>
      </c>
      <c r="E3919" s="5">
        <v>1</v>
      </c>
      <c r="F3919" s="5">
        <v>2</v>
      </c>
      <c r="G3919" s="5">
        <v>0</v>
      </c>
      <c r="H3919" s="4" t="s">
        <v>11</v>
      </c>
      <c r="I3919" s="5">
        <v>0</v>
      </c>
      <c r="J3919" s="4">
        <v>45950.441458333335</v>
      </c>
    </row>
    <row r="3920" spans="1:10" x14ac:dyDescent="0.2">
      <c r="A3920" s="2" t="s">
        <v>10</v>
      </c>
      <c r="B3920" s="3" t="str">
        <f t="shared" si="73"/>
        <v>INVITATION_VAD_2023</v>
      </c>
      <c r="C3920" s="3" t="str">
        <f>HYPERLINK("https://otsuka-europe-crm.veevavault.com/ui/#object/sent_email__v/VBLZ025E82HP9A5", "SE-000288564")</f>
        <v>SE-000288564</v>
      </c>
      <c r="D3920" s="4" t="s">
        <v>11</v>
      </c>
      <c r="E3920" s="5">
        <v>0</v>
      </c>
      <c r="F3920" s="5">
        <v>0</v>
      </c>
      <c r="G3920" s="5">
        <v>0</v>
      </c>
      <c r="H3920" s="4" t="s">
        <v>11</v>
      </c>
      <c r="I3920" s="5">
        <v>0</v>
      </c>
      <c r="J3920" s="4">
        <v>45950.584641203706</v>
      </c>
    </row>
    <row r="3921" spans="1:10" x14ac:dyDescent="0.2">
      <c r="A3921" s="2" t="s">
        <v>10</v>
      </c>
      <c r="B3921" s="3" t="str">
        <f t="shared" si="73"/>
        <v>INVITATION_VAD_2023</v>
      </c>
      <c r="C3921" s="3" t="str">
        <f>HYPERLINK("https://otsuka-europe-crm.veevavault.com/ui/#object/sent_email__v/VBLZ025E82HQHF1", "SE-000289362")</f>
        <v>SE-000289362</v>
      </c>
      <c r="D3921" s="4" t="s">
        <v>11</v>
      </c>
      <c r="E3921" s="5">
        <v>0</v>
      </c>
      <c r="F3921" s="5">
        <v>0</v>
      </c>
      <c r="G3921" s="5">
        <v>0</v>
      </c>
      <c r="H3921" s="4" t="s">
        <v>11</v>
      </c>
      <c r="I3921" s="5">
        <v>0</v>
      </c>
      <c r="J3921" s="4">
        <v>45951.585497685184</v>
      </c>
    </row>
    <row r="3922" spans="1:10" x14ac:dyDescent="0.2">
      <c r="A3922" s="2" t="s">
        <v>10</v>
      </c>
      <c r="B3922" s="3" t="str">
        <f t="shared" si="73"/>
        <v>INVITATION_VAD_2023</v>
      </c>
      <c r="C3922" s="3" t="str">
        <f>HYPERLINK("https://otsuka-europe-crm.veevavault.com/ui/#object/sent_email__v/VBLZ025E82HSKKL", "SE-000290324")</f>
        <v>SE-000290324</v>
      </c>
      <c r="D3922" s="4">
        <v>45963.722361111111</v>
      </c>
      <c r="E3922" s="5">
        <v>1</v>
      </c>
      <c r="F3922" s="5">
        <v>2</v>
      </c>
      <c r="G3922" s="5">
        <v>0</v>
      </c>
      <c r="H3922" s="4" t="s">
        <v>11</v>
      </c>
      <c r="I3922" s="5">
        <v>0</v>
      </c>
      <c r="J3922" s="4">
        <v>45953.553946759261</v>
      </c>
    </row>
    <row r="3923" spans="1:10" x14ac:dyDescent="0.2">
      <c r="A3923" s="2" t="s">
        <v>10</v>
      </c>
      <c r="B3923" s="3" t="str">
        <f t="shared" si="73"/>
        <v>INVITATION_VAD_2023</v>
      </c>
      <c r="C3923" s="3" t="str">
        <f>HYPERLINK("https://otsuka-europe-crm.veevavault.com/ui/#object/sent_email__v/VBLZ025E82HSUWT", "SE-000290519")</f>
        <v>SE-000290519</v>
      </c>
      <c r="D3923" s="4" t="s">
        <v>11</v>
      </c>
      <c r="E3923" s="5">
        <v>0</v>
      </c>
      <c r="F3923" s="5">
        <v>0</v>
      </c>
      <c r="G3923" s="5">
        <v>0</v>
      </c>
      <c r="H3923" s="4" t="s">
        <v>11</v>
      </c>
      <c r="I3923" s="5">
        <v>0</v>
      </c>
      <c r="J3923" s="4">
        <v>45953.682025462964</v>
      </c>
    </row>
    <row r="3924" spans="1:10" x14ac:dyDescent="0.2">
      <c r="A3924" s="2" t="s">
        <v>10</v>
      </c>
      <c r="B3924" s="3" t="str">
        <f t="shared" si="73"/>
        <v>INVITATION_VAD_2023</v>
      </c>
      <c r="C3924" s="3" t="str">
        <f>HYPERLINK("https://otsuka-europe-crm.veevavault.com/ui/#object/sent_email__v/VBL000000001911", "SE-001378909")</f>
        <v>SE-001378909</v>
      </c>
      <c r="D3924" s="4" t="s">
        <v>11</v>
      </c>
      <c r="E3924" s="5">
        <v>0</v>
      </c>
      <c r="F3924" s="5">
        <v>0</v>
      </c>
      <c r="G3924" s="5">
        <v>0</v>
      </c>
      <c r="H3924" s="4" t="s">
        <v>11</v>
      </c>
      <c r="I3924" s="5">
        <v>0</v>
      </c>
      <c r="J3924" s="4">
        <v>45958.441168981481</v>
      </c>
    </row>
    <row r="3925" spans="1:10" x14ac:dyDescent="0.2">
      <c r="A3925" s="2" t="s">
        <v>10</v>
      </c>
      <c r="B3925" s="3" t="str">
        <f t="shared" si="73"/>
        <v>INVITATION_VAD_2023</v>
      </c>
      <c r="C3925" s="3" t="str">
        <f>HYPERLINK("https://otsuka-europe-crm.veevavault.com/ui/#object/sent_email__v/VBL000000003192", "SE-001379224")</f>
        <v>SE-001379224</v>
      </c>
      <c r="D3925" s="4" t="s">
        <v>11</v>
      </c>
      <c r="E3925" s="5">
        <v>0</v>
      </c>
      <c r="F3925" s="5">
        <v>0</v>
      </c>
      <c r="G3925" s="5">
        <v>0</v>
      </c>
      <c r="H3925" s="4" t="s">
        <v>11</v>
      </c>
      <c r="I3925" s="5">
        <v>0</v>
      </c>
      <c r="J3925" s="4">
        <v>45959.303587962961</v>
      </c>
    </row>
    <row r="3926" spans="1:10" x14ac:dyDescent="0.2">
      <c r="A3926" s="2" t="s">
        <v>10</v>
      </c>
      <c r="B3926" s="3" t="str">
        <f t="shared" si="73"/>
        <v>INVITATION_VAD_2023</v>
      </c>
      <c r="C3926" s="3" t="str">
        <f>HYPERLINK("https://otsuka-europe-crm.veevavault.com/ui/#object/sent_email__v/VBL000000002416", "SE-001379234")</f>
        <v>SE-001379234</v>
      </c>
      <c r="D3926" s="4" t="s">
        <v>11</v>
      </c>
      <c r="E3926" s="5">
        <v>0</v>
      </c>
      <c r="F3926" s="5">
        <v>0</v>
      </c>
      <c r="G3926" s="5">
        <v>0</v>
      </c>
      <c r="H3926" s="4" t="s">
        <v>11</v>
      </c>
      <c r="I3926" s="5">
        <v>0</v>
      </c>
      <c r="J3926" s="4">
        <v>45959.411180555559</v>
      </c>
    </row>
    <row r="3927" spans="1:10" x14ac:dyDescent="0.2">
      <c r="A3927" s="2" t="s">
        <v>10</v>
      </c>
      <c r="B3927" s="3" t="str">
        <f t="shared" ref="B3927:B3990" si="74">HYPERLINK("https://otsuka-europe-crm.veevavault.com/ui/#object/approved_document__v/V5OZ04ASG4G02Y6", "INVITATION_VAD_2023")</f>
        <v>INVITATION_VAD_2023</v>
      </c>
      <c r="C3927" s="3" t="str">
        <f>HYPERLINK("https://otsuka-europe-crm.veevavault.com/ui/#object/sent_email__v/VBL000000002432", "SE-001379259")</f>
        <v>SE-001379259</v>
      </c>
      <c r="D3927" s="4" t="s">
        <v>11</v>
      </c>
      <c r="E3927" s="5">
        <v>0</v>
      </c>
      <c r="F3927" s="5">
        <v>0</v>
      </c>
      <c r="G3927" s="5">
        <v>0</v>
      </c>
      <c r="H3927" s="4" t="s">
        <v>11</v>
      </c>
      <c r="I3927" s="5">
        <v>0</v>
      </c>
      <c r="J3927" s="4">
        <v>45959.547164351854</v>
      </c>
    </row>
    <row r="3928" spans="1:10" x14ac:dyDescent="0.2">
      <c r="A3928" s="2" t="s">
        <v>10</v>
      </c>
      <c r="B3928" s="3" t="str">
        <f t="shared" si="74"/>
        <v>INVITATION_VAD_2023</v>
      </c>
      <c r="C3928" s="3" t="str">
        <f>HYPERLINK("https://otsuka-europe-crm.veevavault.com/ui/#object/sent_email__v/VBL000000003205", "SE-001379261")</f>
        <v>SE-001379261</v>
      </c>
      <c r="D3928" s="4" t="s">
        <v>11</v>
      </c>
      <c r="E3928" s="5">
        <v>0</v>
      </c>
      <c r="F3928" s="5">
        <v>0</v>
      </c>
      <c r="G3928" s="5">
        <v>0</v>
      </c>
      <c r="H3928" s="4" t="s">
        <v>11</v>
      </c>
      <c r="I3928" s="5">
        <v>0</v>
      </c>
      <c r="J3928" s="4">
        <v>45959.550659722219</v>
      </c>
    </row>
    <row r="3929" spans="1:10" x14ac:dyDescent="0.2">
      <c r="A3929" s="2" t="s">
        <v>10</v>
      </c>
      <c r="B3929" s="3" t="str">
        <f t="shared" si="74"/>
        <v>INVITATION_VAD_2023</v>
      </c>
      <c r="C3929" s="3" t="str">
        <f>HYPERLINK("https://otsuka-europe-crm.veevavault.com/ui/#object/sent_email__v/VBL000000003427", "SE-001379433")</f>
        <v>SE-001379433</v>
      </c>
      <c r="D3929" s="4" t="s">
        <v>11</v>
      </c>
      <c r="E3929" s="5">
        <v>0</v>
      </c>
      <c r="F3929" s="5">
        <v>0</v>
      </c>
      <c r="G3929" s="5">
        <v>0</v>
      </c>
      <c r="H3929" s="4" t="s">
        <v>11</v>
      </c>
      <c r="I3929" s="5">
        <v>0</v>
      </c>
      <c r="J3929" s="4">
        <v>45960.364583333336</v>
      </c>
    </row>
    <row r="3930" spans="1:10" x14ac:dyDescent="0.2">
      <c r="A3930" s="2" t="s">
        <v>10</v>
      </c>
      <c r="B3930" s="3" t="str">
        <f t="shared" si="74"/>
        <v>INVITATION_VAD_2023</v>
      </c>
      <c r="C3930" s="3" t="str">
        <f>HYPERLINK("https://otsuka-europe-crm.veevavault.com/ui/#object/sent_email__v/VBL000000002603", "SE-001379674")</f>
        <v>SE-001379674</v>
      </c>
      <c r="D3930" s="4" t="s">
        <v>11</v>
      </c>
      <c r="E3930" s="5">
        <v>0</v>
      </c>
      <c r="F3930" s="5">
        <v>0</v>
      </c>
      <c r="G3930" s="5">
        <v>0</v>
      </c>
      <c r="H3930" s="4" t="s">
        <v>11</v>
      </c>
      <c r="I3930" s="5">
        <v>0</v>
      </c>
      <c r="J3930" s="4">
        <v>45960.458865740744</v>
      </c>
    </row>
    <row r="3931" spans="1:10" x14ac:dyDescent="0.2">
      <c r="A3931" s="2" t="s">
        <v>10</v>
      </c>
      <c r="B3931" s="3" t="str">
        <f t="shared" si="74"/>
        <v>INVITATION_VAD_2023</v>
      </c>
      <c r="C3931" s="3" t="str">
        <f>HYPERLINK("https://otsuka-europe-crm.veevavault.com/ui/#object/sent_email__v/VBL000000002605", "SE-001379678")</f>
        <v>SE-001379678</v>
      </c>
      <c r="D3931" s="4">
        <v>45960.46197916667</v>
      </c>
      <c r="E3931" s="5">
        <v>1</v>
      </c>
      <c r="F3931" s="5">
        <v>1</v>
      </c>
      <c r="G3931" s="5">
        <v>0</v>
      </c>
      <c r="H3931" s="4" t="s">
        <v>11</v>
      </c>
      <c r="I3931" s="5">
        <v>0</v>
      </c>
      <c r="J3931" s="4">
        <v>45960.461331018516</v>
      </c>
    </row>
    <row r="3932" spans="1:10" x14ac:dyDescent="0.2">
      <c r="A3932" s="2" t="s">
        <v>10</v>
      </c>
      <c r="B3932" s="3" t="str">
        <f t="shared" si="74"/>
        <v>INVITATION_VAD_2023</v>
      </c>
      <c r="C3932" s="3" t="str">
        <f>HYPERLINK("https://otsuka-europe-crm.veevavault.com/ui/#object/sent_email__v/VBL000000002696", "SE-001379782")</f>
        <v>SE-001379782</v>
      </c>
      <c r="D3932" s="4">
        <v>45960.657268518517</v>
      </c>
      <c r="E3932" s="5">
        <v>1</v>
      </c>
      <c r="F3932" s="5">
        <v>1</v>
      </c>
      <c r="G3932" s="5">
        <v>0</v>
      </c>
      <c r="H3932" s="4" t="s">
        <v>11</v>
      </c>
      <c r="I3932" s="5">
        <v>0</v>
      </c>
      <c r="J3932" s="4">
        <v>45960.605567129627</v>
      </c>
    </row>
    <row r="3933" spans="1:10" x14ac:dyDescent="0.2">
      <c r="A3933" s="2" t="s">
        <v>10</v>
      </c>
      <c r="B3933" s="3" t="str">
        <f t="shared" si="74"/>
        <v>INVITATION_VAD_2023</v>
      </c>
      <c r="C3933" s="3" t="str">
        <f>HYPERLINK("https://otsuka-europe-crm.veevavault.com/ui/#object/sent_email__v/VBL000000003599", "SE-001379804")</f>
        <v>SE-001379804</v>
      </c>
      <c r="D3933" s="4" t="s">
        <v>11</v>
      </c>
      <c r="E3933" s="5">
        <v>0</v>
      </c>
      <c r="F3933" s="5">
        <v>0</v>
      </c>
      <c r="G3933" s="5">
        <v>0</v>
      </c>
      <c r="H3933" s="4" t="s">
        <v>11</v>
      </c>
      <c r="I3933" s="5">
        <v>0</v>
      </c>
      <c r="J3933" s="4">
        <v>45960.723807870374</v>
      </c>
    </row>
    <row r="3934" spans="1:10" x14ac:dyDescent="0.2">
      <c r="A3934" s="2" t="s">
        <v>10</v>
      </c>
      <c r="B3934" s="3" t="str">
        <f t="shared" si="74"/>
        <v>INVITATION_VAD_2023</v>
      </c>
      <c r="C3934" s="3" t="str">
        <f>HYPERLINK("https://otsuka-europe-crm.veevavault.com/ui/#object/sent_email__v/VBL000000007004", "SE-001381679")</f>
        <v>SE-001381679</v>
      </c>
      <c r="D3934" s="4" t="s">
        <v>11</v>
      </c>
      <c r="E3934" s="5">
        <v>0</v>
      </c>
      <c r="F3934" s="5">
        <v>0</v>
      </c>
      <c r="G3934" s="5">
        <v>0</v>
      </c>
      <c r="H3934" s="4" t="s">
        <v>11</v>
      </c>
      <c r="I3934" s="5">
        <v>0</v>
      </c>
      <c r="J3934" s="4">
        <v>45968.279606481483</v>
      </c>
    </row>
    <row r="3935" spans="1:10" x14ac:dyDescent="0.2">
      <c r="A3935" s="2" t="s">
        <v>10</v>
      </c>
      <c r="B3935" s="3" t="str">
        <f t="shared" si="74"/>
        <v>INVITATION_VAD_2023</v>
      </c>
      <c r="C3935" s="3" t="str">
        <f>HYPERLINK("https://otsuka-europe-crm.veevavault.com/ui/#object/sent_email__v/VBL000000007353", "SE-001381684")</f>
        <v>SE-001381684</v>
      </c>
      <c r="D3935" s="4">
        <v>45968.396180555559</v>
      </c>
      <c r="E3935" s="5">
        <v>1</v>
      </c>
      <c r="F3935" s="5">
        <v>2</v>
      </c>
      <c r="G3935" s="5">
        <v>0</v>
      </c>
      <c r="H3935" s="4" t="s">
        <v>11</v>
      </c>
      <c r="I3935" s="5">
        <v>0</v>
      </c>
      <c r="J3935" s="4">
        <v>45968.353333333333</v>
      </c>
    </row>
    <row r="3936" spans="1:10" x14ac:dyDescent="0.2">
      <c r="A3936" s="2" t="s">
        <v>10</v>
      </c>
      <c r="B3936" s="3" t="str">
        <f t="shared" si="74"/>
        <v>INVITATION_VAD_2023</v>
      </c>
      <c r="C3936" s="3" t="str">
        <f>HYPERLINK("https://otsuka-europe-crm.veevavault.com/ui/#object/sent_email__v/VBL000000008666", "SE-001382016")</f>
        <v>SE-001382016</v>
      </c>
      <c r="D3936" s="4" t="s">
        <v>11</v>
      </c>
      <c r="E3936" s="5">
        <v>0</v>
      </c>
      <c r="F3936" s="5">
        <v>0</v>
      </c>
      <c r="G3936" s="5">
        <v>0</v>
      </c>
      <c r="H3936" s="4" t="s">
        <v>11</v>
      </c>
      <c r="I3936" s="5">
        <v>0</v>
      </c>
      <c r="J3936" s="4">
        <v>45968.544050925928</v>
      </c>
    </row>
    <row r="3937" spans="1:10" x14ac:dyDescent="0.2">
      <c r="A3937" s="2" t="s">
        <v>10</v>
      </c>
      <c r="B3937" s="3" t="str">
        <f t="shared" si="74"/>
        <v>INVITATION_VAD_2023</v>
      </c>
      <c r="C3937" s="3" t="str">
        <f>HYPERLINK("https://otsuka-europe-crm.veevavault.com/ui/#object/sent_email__v/VBL00000000J937", "SE-001389473")</f>
        <v>SE-001389473</v>
      </c>
      <c r="D3937" s="4">
        <v>45973.358206018522</v>
      </c>
      <c r="E3937" s="5">
        <v>1</v>
      </c>
      <c r="F3937" s="5">
        <v>2</v>
      </c>
      <c r="G3937" s="5">
        <v>0</v>
      </c>
      <c r="H3937" s="4" t="s">
        <v>11</v>
      </c>
      <c r="I3937" s="5">
        <v>0</v>
      </c>
      <c r="J3937" s="4">
        <v>45973.323020833333</v>
      </c>
    </row>
    <row r="3938" spans="1:10" x14ac:dyDescent="0.2">
      <c r="A3938" s="2" t="s">
        <v>10</v>
      </c>
      <c r="B3938" s="3" t="str">
        <f t="shared" si="74"/>
        <v>INVITATION_VAD_2023</v>
      </c>
      <c r="C3938" s="3" t="str">
        <f>HYPERLINK("https://otsuka-europe-crm.veevavault.com/ui/#object/sent_email__v/VBL00000000M470", "SE-001389475")</f>
        <v>SE-001389475</v>
      </c>
      <c r="D3938" s="4">
        <v>45974.453321759262</v>
      </c>
      <c r="E3938" s="5">
        <v>1</v>
      </c>
      <c r="F3938" s="5">
        <v>3</v>
      </c>
      <c r="G3938" s="5">
        <v>0</v>
      </c>
      <c r="H3938" s="4" t="s">
        <v>11</v>
      </c>
      <c r="I3938" s="5">
        <v>0</v>
      </c>
      <c r="J3938" s="4">
        <v>45973.332800925928</v>
      </c>
    </row>
    <row r="3939" spans="1:10" x14ac:dyDescent="0.2">
      <c r="A3939" s="2" t="s">
        <v>10</v>
      </c>
      <c r="B3939" s="3" t="str">
        <f t="shared" si="74"/>
        <v>INVITATION_VAD_2023</v>
      </c>
      <c r="C3939" s="3" t="str">
        <f>HYPERLINK("https://otsuka-europe-crm.veevavault.com/ui/#object/sent_email__v/VBL00000000M472", "SE-001389477")</f>
        <v>SE-001389477</v>
      </c>
      <c r="D3939" s="4">
        <v>45975.302337962959</v>
      </c>
      <c r="E3939" s="5">
        <v>1</v>
      </c>
      <c r="F3939" s="5">
        <v>2</v>
      </c>
      <c r="G3939" s="5">
        <v>0</v>
      </c>
      <c r="H3939" s="4" t="s">
        <v>11</v>
      </c>
      <c r="I3939" s="5">
        <v>0</v>
      </c>
      <c r="J3939" s="4">
        <v>45973.337511574071</v>
      </c>
    </row>
    <row r="3940" spans="1:10" x14ac:dyDescent="0.2">
      <c r="A3940" s="2" t="s">
        <v>10</v>
      </c>
      <c r="B3940" s="3" t="str">
        <f t="shared" si="74"/>
        <v>INVITATION_VAD_2023</v>
      </c>
      <c r="C3940" s="3" t="str">
        <f>HYPERLINK("https://otsuka-europe-crm.veevavault.com/ui/#object/sent_email__v/VBL00000000J958", "SE-001389501")</f>
        <v>SE-001389501</v>
      </c>
      <c r="D3940" s="4" t="s">
        <v>11</v>
      </c>
      <c r="E3940" s="5">
        <v>0</v>
      </c>
      <c r="F3940" s="5">
        <v>0</v>
      </c>
      <c r="G3940" s="5">
        <v>0</v>
      </c>
      <c r="H3940" s="4" t="s">
        <v>11</v>
      </c>
      <c r="I3940" s="5">
        <v>0</v>
      </c>
      <c r="J3940" s="4">
        <v>45973.457673611112</v>
      </c>
    </row>
    <row r="3941" spans="1:10" x14ac:dyDescent="0.2">
      <c r="A3941" s="2" t="s">
        <v>10</v>
      </c>
      <c r="B3941" s="3" t="str">
        <f t="shared" si="74"/>
        <v>INVITATION_VAD_2023</v>
      </c>
      <c r="C3941" s="3" t="str">
        <f>HYPERLINK("https://otsuka-europe-crm.veevavault.com/ui/#object/sent_email__v/VBL00000000M875", "SE-001390078")</f>
        <v>SE-001390078</v>
      </c>
      <c r="D3941" s="4" t="s">
        <v>11</v>
      </c>
      <c r="E3941" s="5">
        <v>0</v>
      </c>
      <c r="F3941" s="5">
        <v>0</v>
      </c>
      <c r="G3941" s="5">
        <v>0</v>
      </c>
      <c r="H3941" s="4" t="s">
        <v>11</v>
      </c>
      <c r="I3941" s="5">
        <v>0</v>
      </c>
      <c r="J3941" s="4">
        <v>45974.425254629627</v>
      </c>
    </row>
    <row r="3942" spans="1:10" x14ac:dyDescent="0.2">
      <c r="A3942" s="2" t="s">
        <v>10</v>
      </c>
      <c r="B3942" s="3" t="str">
        <f t="shared" si="74"/>
        <v>INVITATION_VAD_2023</v>
      </c>
      <c r="C3942" s="3" t="str">
        <f>HYPERLINK("https://otsuka-europe-crm.veevavault.com/ui/#object/sent_email__v/VBL00000000M946", "SE-001390247")</f>
        <v>SE-001390247</v>
      </c>
      <c r="D3942" s="4" t="s">
        <v>11</v>
      </c>
      <c r="E3942" s="5">
        <v>0</v>
      </c>
      <c r="F3942" s="5">
        <v>0</v>
      </c>
      <c r="G3942" s="5">
        <v>0</v>
      </c>
      <c r="H3942" s="4" t="s">
        <v>11</v>
      </c>
      <c r="I3942" s="5">
        <v>0</v>
      </c>
      <c r="J3942" s="4">
        <v>45975.433194444442</v>
      </c>
    </row>
    <row r="3943" spans="1:10" x14ac:dyDescent="0.2">
      <c r="A3943" s="2" t="s">
        <v>10</v>
      </c>
      <c r="B3943" s="3" t="str">
        <f t="shared" si="74"/>
        <v>INVITATION_VAD_2023</v>
      </c>
      <c r="C3943" s="3" t="str">
        <f>HYPERLINK("https://otsuka-europe-crm.veevavault.com/ui/#object/sent_email__v/VBL00000000M978", "SE-001390293")</f>
        <v>SE-001390293</v>
      </c>
      <c r="D3943" s="4" t="s">
        <v>11</v>
      </c>
      <c r="E3943" s="5">
        <v>0</v>
      </c>
      <c r="F3943" s="5">
        <v>0</v>
      </c>
      <c r="G3943" s="5">
        <v>0</v>
      </c>
      <c r="H3943" s="4" t="s">
        <v>11</v>
      </c>
      <c r="I3943" s="5">
        <v>0</v>
      </c>
      <c r="J3943" s="4">
        <v>45975.549756944441</v>
      </c>
    </row>
    <row r="3944" spans="1:10" x14ac:dyDescent="0.2">
      <c r="A3944" s="2" t="s">
        <v>10</v>
      </c>
      <c r="B3944" s="3" t="str">
        <f t="shared" si="74"/>
        <v>INVITATION_VAD_2023</v>
      </c>
      <c r="C3944" s="3" t="str">
        <f>HYPERLINK("https://otsuka-europe-crm.veevavault.com/ui/#object/sent_email__v/VBL00000000N487", "SE-001390806")</f>
        <v>SE-001390806</v>
      </c>
      <c r="D3944" s="4">
        <v>45979.421273148146</v>
      </c>
      <c r="E3944" s="5">
        <v>1</v>
      </c>
      <c r="F3944" s="5">
        <v>1</v>
      </c>
      <c r="G3944" s="5">
        <v>0</v>
      </c>
      <c r="H3944" s="4" t="s">
        <v>11</v>
      </c>
      <c r="I3944" s="5">
        <v>0</v>
      </c>
      <c r="J3944" s="4">
        <v>45979.420972222222</v>
      </c>
    </row>
    <row r="3945" spans="1:10" x14ac:dyDescent="0.2">
      <c r="A3945" s="2" t="s">
        <v>10</v>
      </c>
      <c r="B3945" s="3" t="str">
        <f t="shared" si="74"/>
        <v>INVITATION_VAD_2023</v>
      </c>
      <c r="C3945" s="3" t="str">
        <f>HYPERLINK("https://otsuka-europe-crm.veevavault.com/ui/#object/sent_email__v/VBL00000000O302", "SE-001390820")</f>
        <v>SE-001390820</v>
      </c>
      <c r="D3945" s="4">
        <v>45980.603495370371</v>
      </c>
      <c r="E3945" s="5">
        <v>1</v>
      </c>
      <c r="F3945" s="5">
        <v>2</v>
      </c>
      <c r="G3945" s="5">
        <v>0</v>
      </c>
      <c r="H3945" s="4" t="s">
        <v>11</v>
      </c>
      <c r="I3945" s="5">
        <v>0</v>
      </c>
      <c r="J3945" s="4">
        <v>45979.448020833333</v>
      </c>
    </row>
    <row r="3946" spans="1:10" x14ac:dyDescent="0.2">
      <c r="A3946" s="2" t="s">
        <v>10</v>
      </c>
      <c r="B3946" s="3" t="str">
        <f t="shared" si="74"/>
        <v>INVITATION_VAD_2023</v>
      </c>
      <c r="C3946" s="3" t="str">
        <f>HYPERLINK("https://otsuka-europe-crm.veevavault.com/ui/#object/sent_email__v/VBL00000000O471", "SE-001391036")</f>
        <v>SE-001391036</v>
      </c>
      <c r="D3946" s="4">
        <v>45982.651655092595</v>
      </c>
      <c r="E3946" s="5">
        <v>1</v>
      </c>
      <c r="F3946" s="5">
        <v>4</v>
      </c>
      <c r="G3946" s="5">
        <v>0</v>
      </c>
      <c r="H3946" s="4" t="s">
        <v>11</v>
      </c>
      <c r="I3946" s="5">
        <v>0</v>
      </c>
      <c r="J3946" s="4">
        <v>45979.553842592592</v>
      </c>
    </row>
    <row r="3947" spans="1:10" x14ac:dyDescent="0.2">
      <c r="A3947" s="2" t="s">
        <v>10</v>
      </c>
      <c r="B3947" s="3" t="str">
        <f t="shared" si="74"/>
        <v>INVITATION_VAD_2023</v>
      </c>
      <c r="C3947" s="3" t="str">
        <f>HYPERLINK("https://otsuka-europe-crm.veevavault.com/ui/#object/sent_email__v/VBL00000000N544", "SE-001391037")</f>
        <v>SE-001391037</v>
      </c>
      <c r="D3947" s="4" t="s">
        <v>11</v>
      </c>
      <c r="E3947" s="5">
        <v>0</v>
      </c>
      <c r="F3947" s="5">
        <v>0</v>
      </c>
      <c r="G3947" s="5">
        <v>0</v>
      </c>
      <c r="H3947" s="4" t="s">
        <v>11</v>
      </c>
      <c r="I3947" s="5">
        <v>0</v>
      </c>
      <c r="J3947" s="4">
        <v>45979.554293981484</v>
      </c>
    </row>
    <row r="3948" spans="1:10" x14ac:dyDescent="0.2">
      <c r="A3948" s="2" t="s">
        <v>10</v>
      </c>
      <c r="B3948" s="3" t="str">
        <f t="shared" si="74"/>
        <v>INVITATION_VAD_2023</v>
      </c>
      <c r="C3948" s="3" t="str">
        <f>HYPERLINK("https://otsuka-europe-crm.veevavault.com/ui/#object/sent_email__v/VBL00000000N551", "SE-001391047")</f>
        <v>SE-001391047</v>
      </c>
      <c r="D3948" s="4" t="s">
        <v>11</v>
      </c>
      <c r="E3948" s="5">
        <v>0</v>
      </c>
      <c r="F3948" s="5">
        <v>0</v>
      </c>
      <c r="G3948" s="5">
        <v>0</v>
      </c>
      <c r="H3948" s="4" t="s">
        <v>11</v>
      </c>
      <c r="I3948" s="5">
        <v>0</v>
      </c>
      <c r="J3948" s="4">
        <v>45979.675312500003</v>
      </c>
    </row>
    <row r="3949" spans="1:10" x14ac:dyDescent="0.2">
      <c r="A3949" s="2" t="s">
        <v>10</v>
      </c>
      <c r="B3949" s="3" t="str">
        <f t="shared" si="74"/>
        <v>INVITATION_VAD_2023</v>
      </c>
      <c r="C3949" s="3" t="str">
        <f>HYPERLINK("https://otsuka-europe-crm.veevavault.com/ui/#object/sent_email__v/VBL00000000N553", "SE-001391051")</f>
        <v>SE-001391051</v>
      </c>
      <c r="D3949" s="4" t="s">
        <v>11</v>
      </c>
      <c r="E3949" s="5">
        <v>0</v>
      </c>
      <c r="F3949" s="5">
        <v>0</v>
      </c>
      <c r="G3949" s="5">
        <v>0</v>
      </c>
      <c r="H3949" s="4" t="s">
        <v>11</v>
      </c>
      <c r="I3949" s="5">
        <v>0</v>
      </c>
      <c r="J3949" s="4">
        <v>45979.703032407408</v>
      </c>
    </row>
    <row r="3950" spans="1:10" x14ac:dyDescent="0.2">
      <c r="A3950" s="2" t="s">
        <v>10</v>
      </c>
      <c r="B3950" s="3" t="str">
        <f t="shared" si="74"/>
        <v>INVITATION_VAD_2023</v>
      </c>
      <c r="C3950" s="3" t="str">
        <f>HYPERLINK("https://otsuka-europe-crm.veevavault.com/ui/#object/sent_email__v/VBL00000000O480", "SE-001391055")</f>
        <v>SE-001391055</v>
      </c>
      <c r="D3950" s="4" t="s">
        <v>11</v>
      </c>
      <c r="E3950" s="5">
        <v>0</v>
      </c>
      <c r="F3950" s="5">
        <v>0</v>
      </c>
      <c r="G3950" s="5">
        <v>0</v>
      </c>
      <c r="H3950" s="4" t="s">
        <v>11</v>
      </c>
      <c r="I3950" s="5">
        <v>0</v>
      </c>
      <c r="J3950" s="4">
        <v>45979.757303240738</v>
      </c>
    </row>
    <row r="3951" spans="1:10" x14ac:dyDescent="0.2">
      <c r="A3951" s="2" t="s">
        <v>10</v>
      </c>
      <c r="B3951" s="3" t="str">
        <f t="shared" si="74"/>
        <v>INVITATION_VAD_2023</v>
      </c>
      <c r="C3951" s="3" t="str">
        <f>HYPERLINK("https://otsuka-europe-crm.veevavault.com/ui/#object/sent_email__v/VBL00000000P044", "SE-001391179")</f>
        <v>SE-001391179</v>
      </c>
      <c r="D3951" s="4" t="s">
        <v>11</v>
      </c>
      <c r="E3951" s="5">
        <v>0</v>
      </c>
      <c r="F3951" s="5">
        <v>0</v>
      </c>
      <c r="G3951" s="5">
        <v>0</v>
      </c>
      <c r="H3951" s="4" t="s">
        <v>11</v>
      </c>
      <c r="I3951" s="5">
        <v>0</v>
      </c>
      <c r="J3951" s="4">
        <v>45980.320300925923</v>
      </c>
    </row>
    <row r="3952" spans="1:10" x14ac:dyDescent="0.2">
      <c r="A3952" s="2" t="s">
        <v>10</v>
      </c>
      <c r="B3952" s="3" t="str">
        <f t="shared" si="74"/>
        <v>INVITATION_VAD_2023</v>
      </c>
      <c r="C3952" s="3" t="str">
        <f>HYPERLINK("https://otsuka-europe-crm.veevavault.com/ui/#object/sent_email__v/VBL00000000Q115", "SE-001391248")</f>
        <v>SE-001391248</v>
      </c>
      <c r="D3952" s="4" t="s">
        <v>11</v>
      </c>
      <c r="E3952" s="5">
        <v>0</v>
      </c>
      <c r="F3952" s="5">
        <v>0</v>
      </c>
      <c r="G3952" s="5">
        <v>0</v>
      </c>
      <c r="H3952" s="4" t="s">
        <v>11</v>
      </c>
      <c r="I3952" s="5">
        <v>0</v>
      </c>
      <c r="J3952" s="4">
        <v>45980.449097222219</v>
      </c>
    </row>
    <row r="3953" spans="1:10" x14ac:dyDescent="0.2">
      <c r="A3953" s="2" t="s">
        <v>10</v>
      </c>
      <c r="B3953" s="3" t="str">
        <f t="shared" si="74"/>
        <v>INVITATION_VAD_2023</v>
      </c>
      <c r="C3953" s="3" t="str">
        <f>HYPERLINK("https://otsuka-europe-crm.veevavault.com/ui/#object/sent_email__v/VBL00000000P053", "SE-001391249")</f>
        <v>SE-001391249</v>
      </c>
      <c r="D3953" s="4">
        <v>45980.610023148147</v>
      </c>
      <c r="E3953" s="5">
        <v>1</v>
      </c>
      <c r="F3953" s="5">
        <v>3</v>
      </c>
      <c r="G3953" s="5">
        <v>0</v>
      </c>
      <c r="H3953" s="4" t="s">
        <v>11</v>
      </c>
      <c r="I3953" s="5">
        <v>0</v>
      </c>
      <c r="J3953" s="4">
        <v>45980.449328703704</v>
      </c>
    </row>
    <row r="3954" spans="1:10" x14ac:dyDescent="0.2">
      <c r="A3954" s="2" t="s">
        <v>10</v>
      </c>
      <c r="B3954" s="3" t="str">
        <f t="shared" si="74"/>
        <v>INVITATION_VAD_2023</v>
      </c>
      <c r="C3954" s="3" t="str">
        <f>HYPERLINK("https://otsuka-europe-crm.veevavault.com/ui/#object/sent_email__v/VBL00000000Q116", "SE-001391250")</f>
        <v>SE-001391250</v>
      </c>
      <c r="D3954" s="4">
        <v>45980.449548611112</v>
      </c>
      <c r="E3954" s="5">
        <v>1</v>
      </c>
      <c r="F3954" s="5">
        <v>1</v>
      </c>
      <c r="G3954" s="5">
        <v>0</v>
      </c>
      <c r="H3954" s="4" t="s">
        <v>11</v>
      </c>
      <c r="I3954" s="5">
        <v>0</v>
      </c>
      <c r="J3954" s="4">
        <v>45980.449421296296</v>
      </c>
    </row>
    <row r="3955" spans="1:10" x14ac:dyDescent="0.2">
      <c r="A3955" s="2" t="s">
        <v>10</v>
      </c>
      <c r="B3955" s="3" t="str">
        <f t="shared" si="74"/>
        <v>INVITATION_VAD_2023</v>
      </c>
      <c r="C3955" s="3" t="str">
        <f>HYPERLINK("https://otsuka-europe-crm.veevavault.com/ui/#object/sent_email__v/VBL00000000P054", "SE-001391251")</f>
        <v>SE-001391251</v>
      </c>
      <c r="D3955" s="4">
        <v>45980.732499999998</v>
      </c>
      <c r="E3955" s="5">
        <v>1</v>
      </c>
      <c r="F3955" s="5">
        <v>1</v>
      </c>
      <c r="G3955" s="5">
        <v>0</v>
      </c>
      <c r="H3955" s="4" t="s">
        <v>11</v>
      </c>
      <c r="I3955" s="5">
        <v>0</v>
      </c>
      <c r="J3955" s="4">
        <v>45980.449895833335</v>
      </c>
    </row>
    <row r="3956" spans="1:10" x14ac:dyDescent="0.2">
      <c r="A3956" s="2" t="s">
        <v>10</v>
      </c>
      <c r="B3956" s="3" t="str">
        <f t="shared" si="74"/>
        <v>INVITATION_VAD_2023</v>
      </c>
      <c r="C3956" s="3" t="str">
        <f>HYPERLINK("https://otsuka-europe-crm.veevavault.com/ui/#object/sent_email__v/VBL00000000P115", "SE-001391404")</f>
        <v>SE-001391404</v>
      </c>
      <c r="D3956" s="4">
        <v>45987.325115740743</v>
      </c>
      <c r="E3956" s="5">
        <v>1</v>
      </c>
      <c r="F3956" s="5">
        <v>4</v>
      </c>
      <c r="G3956" s="5">
        <v>0</v>
      </c>
      <c r="H3956" s="4" t="s">
        <v>11</v>
      </c>
      <c r="I3956" s="5">
        <v>0</v>
      </c>
      <c r="J3956" s="4">
        <v>45981.474409722221</v>
      </c>
    </row>
    <row r="3957" spans="1:10" x14ac:dyDescent="0.2">
      <c r="A3957" s="2" t="s">
        <v>10</v>
      </c>
      <c r="B3957" s="3" t="str">
        <f t="shared" si="74"/>
        <v>INVITATION_VAD_2023</v>
      </c>
      <c r="C3957" s="3" t="str">
        <f>HYPERLINK("https://otsuka-europe-crm.veevavault.com/ui/#object/sent_email__v/VBL00000000P116", "SE-001391405")</f>
        <v>SE-001391405</v>
      </c>
      <c r="D3957" s="4">
        <v>45987.325115740743</v>
      </c>
      <c r="E3957" s="5">
        <v>1</v>
      </c>
      <c r="F3957" s="5">
        <v>2</v>
      </c>
      <c r="G3957" s="5">
        <v>0</v>
      </c>
      <c r="H3957" s="4" t="s">
        <v>11</v>
      </c>
      <c r="I3957" s="5">
        <v>0</v>
      </c>
      <c r="J3957" s="4">
        <v>45981.478425925925</v>
      </c>
    </row>
    <row r="3958" spans="1:10" x14ac:dyDescent="0.2">
      <c r="A3958" s="2" t="s">
        <v>10</v>
      </c>
      <c r="B3958" s="3" t="str">
        <f t="shared" si="74"/>
        <v>INVITATION_VAD_2023</v>
      </c>
      <c r="C3958" s="3" t="str">
        <f>HYPERLINK("https://otsuka-europe-crm.veevavault.com/ui/#object/sent_email__v/VBL00000000S036", "SE-001391680")</f>
        <v>SE-001391680</v>
      </c>
      <c r="D3958" s="4" t="s">
        <v>11</v>
      </c>
      <c r="E3958" s="5">
        <v>0</v>
      </c>
      <c r="F3958" s="5">
        <v>0</v>
      </c>
      <c r="G3958" s="5">
        <v>0</v>
      </c>
      <c r="H3958" s="4" t="s">
        <v>11</v>
      </c>
      <c r="I3958" s="5">
        <v>0</v>
      </c>
      <c r="J3958" s="4">
        <v>45985.386620370373</v>
      </c>
    </row>
    <row r="3959" spans="1:10" x14ac:dyDescent="0.2">
      <c r="A3959" s="2" t="s">
        <v>10</v>
      </c>
      <c r="B3959" s="3" t="str">
        <f t="shared" si="74"/>
        <v>INVITATION_VAD_2023</v>
      </c>
      <c r="C3959" s="3" t="str">
        <f>HYPERLINK("https://otsuka-europe-crm.veevavault.com/ui/#object/sent_email__v/VBL00000000S037", "SE-001391681")</f>
        <v>SE-001391681</v>
      </c>
      <c r="D3959" s="4" t="s">
        <v>11</v>
      </c>
      <c r="E3959" s="5">
        <v>0</v>
      </c>
      <c r="F3959" s="5">
        <v>0</v>
      </c>
      <c r="G3959" s="5">
        <v>0</v>
      </c>
      <c r="H3959" s="4" t="s">
        <v>11</v>
      </c>
      <c r="I3959" s="5">
        <v>0</v>
      </c>
      <c r="J3959" s="4">
        <v>45985.386689814812</v>
      </c>
    </row>
    <row r="3960" spans="1:10" x14ac:dyDescent="0.2">
      <c r="A3960" s="2" t="s">
        <v>10</v>
      </c>
      <c r="B3960" s="3" t="str">
        <f t="shared" si="74"/>
        <v>INVITATION_VAD_2023</v>
      </c>
      <c r="C3960" s="3" t="str">
        <f>HYPERLINK("https://otsuka-europe-crm.veevavault.com/ui/#object/sent_email__v/VBL00000000R206", "SE-001391797")</f>
        <v>SE-001391797</v>
      </c>
      <c r="D3960" s="4" t="s">
        <v>11</v>
      </c>
      <c r="E3960" s="5">
        <v>0</v>
      </c>
      <c r="F3960" s="5">
        <v>0</v>
      </c>
      <c r="G3960" s="5">
        <v>0</v>
      </c>
      <c r="H3960" s="4" t="s">
        <v>11</v>
      </c>
      <c r="I3960" s="5">
        <v>0</v>
      </c>
      <c r="J3960" s="4">
        <v>45985.734988425924</v>
      </c>
    </row>
    <row r="3961" spans="1:10" x14ac:dyDescent="0.2">
      <c r="A3961" s="2" t="s">
        <v>10</v>
      </c>
      <c r="B3961" s="3" t="str">
        <f t="shared" si="74"/>
        <v>INVITATION_VAD_2023</v>
      </c>
      <c r="C3961" s="3" t="str">
        <f>HYPERLINK("https://otsuka-europe-crm.veevavault.com/ui/#object/sent_email__v/VBL00000000S109", "SE-001391889")</f>
        <v>SE-001391889</v>
      </c>
      <c r="D3961" s="4">
        <v>45992.34134259259</v>
      </c>
      <c r="E3961" s="5">
        <v>1</v>
      </c>
      <c r="F3961" s="5">
        <v>6</v>
      </c>
      <c r="G3961" s="5">
        <v>0</v>
      </c>
      <c r="H3961" s="4" t="s">
        <v>11</v>
      </c>
      <c r="I3961" s="5">
        <v>0</v>
      </c>
      <c r="J3961" s="4">
        <v>45986.466481481482</v>
      </c>
    </row>
    <row r="3962" spans="1:10" x14ac:dyDescent="0.2">
      <c r="A3962" s="2" t="s">
        <v>10</v>
      </c>
      <c r="B3962" s="3" t="str">
        <f t="shared" si="74"/>
        <v>INVITATION_VAD_2023</v>
      </c>
      <c r="C3962" s="3" t="str">
        <f>HYPERLINK("https://otsuka-europe-crm.veevavault.com/ui/#object/sent_email__v/VBL00000000R314", "SE-001391945")</f>
        <v>SE-001391945</v>
      </c>
      <c r="D3962" s="4">
        <v>46003.378645833334</v>
      </c>
      <c r="E3962" s="5">
        <v>1</v>
      </c>
      <c r="F3962" s="5">
        <v>15</v>
      </c>
      <c r="G3962" s="5">
        <v>0</v>
      </c>
      <c r="H3962" s="4" t="s">
        <v>11</v>
      </c>
      <c r="I3962" s="5">
        <v>0</v>
      </c>
      <c r="J3962" s="4">
        <v>45987.671215277776</v>
      </c>
    </row>
    <row r="3963" spans="1:10" x14ac:dyDescent="0.2">
      <c r="A3963" s="2" t="s">
        <v>10</v>
      </c>
      <c r="B3963" s="3" t="str">
        <f t="shared" si="74"/>
        <v>INVITATION_VAD_2023</v>
      </c>
      <c r="C3963" s="3" t="str">
        <f>HYPERLINK("https://otsuka-europe-crm.veevavault.com/ui/#object/sent_email__v/VBL00000000S156", "SE-001391946")</f>
        <v>SE-001391946</v>
      </c>
      <c r="D3963" s="4" t="s">
        <v>11</v>
      </c>
      <c r="E3963" s="5">
        <v>0</v>
      </c>
      <c r="F3963" s="5">
        <v>0</v>
      </c>
      <c r="G3963" s="5">
        <v>0</v>
      </c>
      <c r="H3963" s="4" t="s">
        <v>11</v>
      </c>
      <c r="I3963" s="5">
        <v>0</v>
      </c>
      <c r="J3963" s="4">
        <v>45987.671377314815</v>
      </c>
    </row>
    <row r="3964" spans="1:10" x14ac:dyDescent="0.2">
      <c r="A3964" s="2" t="s">
        <v>10</v>
      </c>
      <c r="B3964" s="3" t="str">
        <f t="shared" si="74"/>
        <v>INVITATION_VAD_2023</v>
      </c>
      <c r="C3964" s="3" t="str">
        <f>HYPERLINK("https://otsuka-europe-crm.veevavault.com/ui/#object/sent_email__v/VBL00000000S157", "SE-001391947")</f>
        <v>SE-001391947</v>
      </c>
      <c r="D3964" s="4" t="s">
        <v>11</v>
      </c>
      <c r="E3964" s="5">
        <v>0</v>
      </c>
      <c r="F3964" s="5">
        <v>0</v>
      </c>
      <c r="G3964" s="5">
        <v>0</v>
      </c>
      <c r="H3964" s="4" t="s">
        <v>11</v>
      </c>
      <c r="I3964" s="5">
        <v>0</v>
      </c>
      <c r="J3964" s="4">
        <v>45987.671585648146</v>
      </c>
    </row>
    <row r="3965" spans="1:10" x14ac:dyDescent="0.2">
      <c r="A3965" s="2" t="s">
        <v>10</v>
      </c>
      <c r="B3965" s="3" t="str">
        <f t="shared" si="74"/>
        <v>INVITATION_VAD_2023</v>
      </c>
      <c r="C3965" s="3" t="str">
        <f>HYPERLINK("https://otsuka-europe-crm.veevavault.com/ui/#object/sent_email__v/VBL00000000S159", "SE-001391949")</f>
        <v>SE-001391949</v>
      </c>
      <c r="D3965" s="4" t="s">
        <v>11</v>
      </c>
      <c r="E3965" s="5">
        <v>0</v>
      </c>
      <c r="F3965" s="5">
        <v>0</v>
      </c>
      <c r="G3965" s="5">
        <v>0</v>
      </c>
      <c r="H3965" s="4" t="s">
        <v>11</v>
      </c>
      <c r="I3965" s="5">
        <v>0</v>
      </c>
      <c r="J3965" s="4">
        <v>45987.714270833334</v>
      </c>
    </row>
    <row r="3966" spans="1:10" x14ac:dyDescent="0.2">
      <c r="A3966" s="2" t="s">
        <v>10</v>
      </c>
      <c r="B3966" s="3" t="str">
        <f t="shared" si="74"/>
        <v>INVITATION_VAD_2023</v>
      </c>
      <c r="C3966" s="3" t="str">
        <f>HYPERLINK("https://otsuka-europe-crm.veevavault.com/ui/#object/sent_email__v/VBL00000000R354", "SE-001391986")</f>
        <v>SE-001391986</v>
      </c>
      <c r="D3966" s="4">
        <v>45988.414652777778</v>
      </c>
      <c r="E3966" s="5">
        <v>1</v>
      </c>
      <c r="F3966" s="5">
        <v>2</v>
      </c>
      <c r="G3966" s="5">
        <v>0</v>
      </c>
      <c r="H3966" s="4" t="s">
        <v>11</v>
      </c>
      <c r="I3966" s="5">
        <v>0</v>
      </c>
      <c r="J3966" s="4">
        <v>45988.410243055558</v>
      </c>
    </row>
    <row r="3967" spans="1:10" x14ac:dyDescent="0.2">
      <c r="A3967" s="2" t="s">
        <v>10</v>
      </c>
      <c r="B3967" s="3" t="str">
        <f t="shared" si="74"/>
        <v>INVITATION_VAD_2023</v>
      </c>
      <c r="C3967" s="3" t="str">
        <f>HYPERLINK("https://otsuka-europe-crm.veevavault.com/ui/#object/sent_email__v/VBL00000000R370", "SE-001392006")</f>
        <v>SE-001392006</v>
      </c>
      <c r="D3967" s="4" t="s">
        <v>11</v>
      </c>
      <c r="E3967" s="5">
        <v>0</v>
      </c>
      <c r="F3967" s="5">
        <v>0</v>
      </c>
      <c r="G3967" s="5">
        <v>0</v>
      </c>
      <c r="H3967" s="4" t="s">
        <v>11</v>
      </c>
      <c r="I3967" s="5">
        <v>0</v>
      </c>
      <c r="J3967" s="4">
        <v>45988.48946759259</v>
      </c>
    </row>
    <row r="3968" spans="1:10" x14ac:dyDescent="0.2">
      <c r="A3968" s="2" t="s">
        <v>10</v>
      </c>
      <c r="B3968" s="3" t="str">
        <f t="shared" si="74"/>
        <v>INVITATION_VAD_2023</v>
      </c>
      <c r="C3968" s="3" t="str">
        <f>HYPERLINK("https://otsuka-europe-crm.veevavault.com/ui/#object/sent_email__v/VBL00000000S227", "SE-001392067")</f>
        <v>SE-001392067</v>
      </c>
      <c r="D3968" s="4">
        <v>45989.475011574075</v>
      </c>
      <c r="E3968" s="5">
        <v>1</v>
      </c>
      <c r="F3968" s="5">
        <v>1</v>
      </c>
      <c r="G3968" s="5">
        <v>0</v>
      </c>
      <c r="H3968" s="4" t="s">
        <v>11</v>
      </c>
      <c r="I3968" s="5">
        <v>0</v>
      </c>
      <c r="J3968" s="4">
        <v>45989.474756944444</v>
      </c>
    </row>
    <row r="3969" spans="1:10" x14ac:dyDescent="0.2">
      <c r="A3969" s="2" t="s">
        <v>10</v>
      </c>
      <c r="B3969" s="3" t="str">
        <f t="shared" si="74"/>
        <v>INVITATION_VAD_2023</v>
      </c>
      <c r="C3969" s="3" t="str">
        <f>HYPERLINK("https://otsuka-europe-crm.veevavault.com/ui/#object/sent_email__v/VBL00000000R971", "SE-001394399")</f>
        <v>SE-001394399</v>
      </c>
      <c r="D3969" s="4">
        <v>45997.846400462964</v>
      </c>
      <c r="E3969" s="5">
        <v>1</v>
      </c>
      <c r="F3969" s="5">
        <v>1</v>
      </c>
      <c r="G3969" s="5">
        <v>0</v>
      </c>
      <c r="H3969" s="4" t="s">
        <v>11</v>
      </c>
      <c r="I3969" s="5">
        <v>0</v>
      </c>
      <c r="J3969" s="4">
        <v>45992.644479166665</v>
      </c>
    </row>
    <row r="3970" spans="1:10" x14ac:dyDescent="0.2">
      <c r="A3970" s="2" t="s">
        <v>10</v>
      </c>
      <c r="B3970" s="3" t="str">
        <f t="shared" si="74"/>
        <v>INVITATION_VAD_2023</v>
      </c>
      <c r="C3970" s="3" t="str">
        <f>HYPERLINK("https://otsuka-europe-crm.veevavault.com/ui/#object/sent_email__v/VBL00000000V051", "SE-001394795")</f>
        <v>SE-001394795</v>
      </c>
      <c r="D3970" s="4" t="s">
        <v>11</v>
      </c>
      <c r="E3970" s="5">
        <v>0</v>
      </c>
      <c r="F3970" s="5">
        <v>0</v>
      </c>
      <c r="G3970" s="5">
        <v>0</v>
      </c>
      <c r="H3970" s="4" t="s">
        <v>11</v>
      </c>
      <c r="I3970" s="5">
        <v>0</v>
      </c>
      <c r="J3970" s="4">
        <v>45994.312974537039</v>
      </c>
    </row>
    <row r="3971" spans="1:10" x14ac:dyDescent="0.2">
      <c r="A3971" s="2" t="s">
        <v>10</v>
      </c>
      <c r="B3971" s="3" t="str">
        <f t="shared" si="74"/>
        <v>INVITATION_VAD_2023</v>
      </c>
      <c r="C3971" s="3" t="str">
        <f>HYPERLINK("https://otsuka-europe-crm.veevavault.com/ui/#object/sent_email__v/VBL00000000U385", "SE-001394815")</f>
        <v>SE-001394815</v>
      </c>
      <c r="D3971" s="4">
        <v>46055.561412037037</v>
      </c>
      <c r="E3971" s="5">
        <v>1</v>
      </c>
      <c r="F3971" s="5">
        <v>25</v>
      </c>
      <c r="G3971" s="5">
        <v>0</v>
      </c>
      <c r="H3971" s="4" t="s">
        <v>11</v>
      </c>
      <c r="I3971" s="5">
        <v>0</v>
      </c>
      <c r="J3971" s="4">
        <v>45994.544594907406</v>
      </c>
    </row>
    <row r="3972" spans="1:10" x14ac:dyDescent="0.2">
      <c r="A3972" s="2" t="s">
        <v>10</v>
      </c>
      <c r="B3972" s="3" t="str">
        <f t="shared" si="74"/>
        <v>INVITATION_VAD_2023</v>
      </c>
      <c r="C3972" s="3" t="str">
        <f>HYPERLINK("https://otsuka-europe-crm.veevavault.com/ui/#object/sent_email__v/VBL00000000V180", "SE-001395054")</f>
        <v>SE-001395054</v>
      </c>
      <c r="D3972" s="4" t="s">
        <v>11</v>
      </c>
      <c r="E3972" s="5">
        <v>0</v>
      </c>
      <c r="F3972" s="5">
        <v>0</v>
      </c>
      <c r="G3972" s="5">
        <v>0</v>
      </c>
      <c r="H3972" s="4" t="s">
        <v>11</v>
      </c>
      <c r="I3972" s="5">
        <v>0</v>
      </c>
      <c r="J3972" s="4">
        <v>45995.339791666665</v>
      </c>
    </row>
    <row r="3973" spans="1:10" x14ac:dyDescent="0.2">
      <c r="A3973" s="2" t="s">
        <v>10</v>
      </c>
      <c r="B3973" s="3" t="str">
        <f t="shared" si="74"/>
        <v>INVITATION_VAD_2023</v>
      </c>
      <c r="C3973" s="3" t="str">
        <f>HYPERLINK("https://otsuka-europe-crm.veevavault.com/ui/#object/sent_email__v/VBL00000000U794", "SE-001395436")</f>
        <v>SE-001395436</v>
      </c>
      <c r="D3973" s="4" t="s">
        <v>11</v>
      </c>
      <c r="E3973" s="5">
        <v>0</v>
      </c>
      <c r="F3973" s="5">
        <v>0</v>
      </c>
      <c r="G3973" s="5">
        <v>0</v>
      </c>
      <c r="H3973" s="4" t="s">
        <v>11</v>
      </c>
      <c r="I3973" s="5">
        <v>0</v>
      </c>
      <c r="J3973" s="4">
        <v>45995.573900462965</v>
      </c>
    </row>
    <row r="3974" spans="1:10" x14ac:dyDescent="0.2">
      <c r="A3974" s="2" t="s">
        <v>10</v>
      </c>
      <c r="B3974" s="3" t="str">
        <f t="shared" si="74"/>
        <v>INVITATION_VAD_2023</v>
      </c>
      <c r="C3974" s="3" t="str">
        <f>HYPERLINK("https://otsuka-europe-crm.veevavault.com/ui/#object/sent_email__v/VBL00000000W074", "SE-001395782")</f>
        <v>SE-001395782</v>
      </c>
      <c r="D3974" s="4" t="s">
        <v>11</v>
      </c>
      <c r="E3974" s="5">
        <v>0</v>
      </c>
      <c r="F3974" s="5">
        <v>0</v>
      </c>
      <c r="G3974" s="5">
        <v>0</v>
      </c>
      <c r="H3974" s="4" t="s">
        <v>11</v>
      </c>
      <c r="I3974" s="5">
        <v>0</v>
      </c>
      <c r="J3974" s="4">
        <v>45999.535856481481</v>
      </c>
    </row>
    <row r="3975" spans="1:10" x14ac:dyDescent="0.2">
      <c r="A3975" s="2" t="s">
        <v>10</v>
      </c>
      <c r="B3975" s="3" t="str">
        <f t="shared" si="74"/>
        <v>INVITATION_VAD_2023</v>
      </c>
      <c r="C3975" s="3" t="str">
        <f>HYPERLINK("https://otsuka-europe-crm.veevavault.com/ui/#object/sent_email__v/VBL00000000X249", "SE-001395824")</f>
        <v>SE-001395824</v>
      </c>
      <c r="D3975" s="4">
        <v>46000.389490740738</v>
      </c>
      <c r="E3975" s="5">
        <v>1</v>
      </c>
      <c r="F3975" s="5">
        <v>7</v>
      </c>
      <c r="G3975" s="5">
        <v>0</v>
      </c>
      <c r="H3975" s="4" t="s">
        <v>11</v>
      </c>
      <c r="I3975" s="5">
        <v>0</v>
      </c>
      <c r="J3975" s="4">
        <v>45999.837627314817</v>
      </c>
    </row>
    <row r="3976" spans="1:10" x14ac:dyDescent="0.2">
      <c r="A3976" s="2" t="s">
        <v>10</v>
      </c>
      <c r="B3976" s="3" t="str">
        <f t="shared" si="74"/>
        <v>INVITATION_VAD_2023</v>
      </c>
      <c r="C3976" s="3" t="str">
        <f>HYPERLINK("https://otsuka-europe-crm.veevavault.com/ui/#object/sent_email__v/VBL00000000X269", "SE-001395929")</f>
        <v>SE-001395929</v>
      </c>
      <c r="D3976" s="4">
        <v>46000.410833333335</v>
      </c>
      <c r="E3976" s="5">
        <v>1</v>
      </c>
      <c r="F3976" s="5">
        <v>1</v>
      </c>
      <c r="G3976" s="5">
        <v>0</v>
      </c>
      <c r="H3976" s="4" t="s">
        <v>11</v>
      </c>
      <c r="I3976" s="5">
        <v>0</v>
      </c>
      <c r="J3976" s="4">
        <v>46000.40729166667</v>
      </c>
    </row>
    <row r="3977" spans="1:10" x14ac:dyDescent="0.2">
      <c r="A3977" s="2" t="s">
        <v>10</v>
      </c>
      <c r="B3977" s="3" t="str">
        <f t="shared" si="74"/>
        <v>INVITATION_VAD_2023</v>
      </c>
      <c r="C3977" s="3" t="str">
        <f>HYPERLINK("https://otsuka-europe-crm.veevavault.com/ui/#object/sent_email__v/VBL00000000X278", "SE-001395950")</f>
        <v>SE-001395950</v>
      </c>
      <c r="D3977" s="4" t="s">
        <v>11</v>
      </c>
      <c r="E3977" s="5">
        <v>0</v>
      </c>
      <c r="F3977" s="5">
        <v>0</v>
      </c>
      <c r="G3977" s="5">
        <v>0</v>
      </c>
      <c r="H3977" s="4" t="s">
        <v>11</v>
      </c>
      <c r="I3977" s="5">
        <v>0</v>
      </c>
      <c r="J3977" s="4">
        <v>46000.469155092593</v>
      </c>
    </row>
    <row r="3978" spans="1:10" x14ac:dyDescent="0.2">
      <c r="A3978" s="2" t="s">
        <v>10</v>
      </c>
      <c r="B3978" s="3" t="str">
        <f t="shared" si="74"/>
        <v>INVITATION_VAD_2023</v>
      </c>
      <c r="C3978" s="3" t="str">
        <f>HYPERLINK("https://otsuka-europe-crm.veevavault.com/ui/#object/sent_email__v/VBL00000000W295", "SE-001396105")</f>
        <v>SE-001396105</v>
      </c>
      <c r="D3978" s="4" t="s">
        <v>11</v>
      </c>
      <c r="E3978" s="5">
        <v>0</v>
      </c>
      <c r="F3978" s="5">
        <v>0</v>
      </c>
      <c r="G3978" s="5">
        <v>0</v>
      </c>
      <c r="H3978" s="4" t="s">
        <v>11</v>
      </c>
      <c r="I3978" s="5">
        <v>0</v>
      </c>
      <c r="J3978" s="4">
        <v>46001.337418981479</v>
      </c>
    </row>
    <row r="3979" spans="1:10" x14ac:dyDescent="0.2">
      <c r="A3979" s="2" t="s">
        <v>10</v>
      </c>
      <c r="B3979" s="3" t="str">
        <f t="shared" si="74"/>
        <v>INVITATION_VAD_2023</v>
      </c>
      <c r="C3979" s="3" t="str">
        <f>HYPERLINK("https://otsuka-europe-crm.veevavault.com/ui/#object/sent_email__v/VBL00000000W331", "SE-001396160")</f>
        <v>SE-001396160</v>
      </c>
      <c r="D3979" s="4">
        <v>46002.685763888891</v>
      </c>
      <c r="E3979" s="5">
        <v>1</v>
      </c>
      <c r="F3979" s="5">
        <v>2</v>
      </c>
      <c r="G3979" s="5">
        <v>0</v>
      </c>
      <c r="H3979" s="4" t="s">
        <v>11</v>
      </c>
      <c r="I3979" s="5">
        <v>0</v>
      </c>
      <c r="J3979" s="4">
        <v>46002.295578703706</v>
      </c>
    </row>
    <row r="3980" spans="1:10" x14ac:dyDescent="0.2">
      <c r="A3980" s="2" t="s">
        <v>10</v>
      </c>
      <c r="B3980" s="3" t="str">
        <f t="shared" si="74"/>
        <v>INVITATION_VAD_2023</v>
      </c>
      <c r="C3980" s="3" t="str">
        <f>HYPERLINK("https://otsuka-europe-crm.veevavault.com/ui/#object/sent_email__v/VBL00000000W402", "SE-001396317")</f>
        <v>SE-001396317</v>
      </c>
      <c r="D3980" s="4" t="s">
        <v>11</v>
      </c>
      <c r="E3980" s="5">
        <v>0</v>
      </c>
      <c r="F3980" s="5">
        <v>0</v>
      </c>
      <c r="G3980" s="5">
        <v>0</v>
      </c>
      <c r="H3980" s="4" t="s">
        <v>11</v>
      </c>
      <c r="I3980" s="5">
        <v>0</v>
      </c>
      <c r="J3980" s="4">
        <v>46002.640185185184</v>
      </c>
    </row>
    <row r="3981" spans="1:10" x14ac:dyDescent="0.2">
      <c r="A3981" s="2" t="s">
        <v>10</v>
      </c>
      <c r="B3981" s="3" t="str">
        <f t="shared" si="74"/>
        <v>INVITATION_VAD_2023</v>
      </c>
      <c r="C3981" s="3" t="str">
        <f>HYPERLINK("https://otsuka-europe-crm.veevavault.com/ui/#object/sent_email__v/VBL00000000W404", "SE-001396319")</f>
        <v>SE-001396319</v>
      </c>
      <c r="D3981" s="4" t="s">
        <v>11</v>
      </c>
      <c r="E3981" s="5">
        <v>0</v>
      </c>
      <c r="F3981" s="5">
        <v>0</v>
      </c>
      <c r="G3981" s="5">
        <v>0</v>
      </c>
      <c r="H3981" s="4" t="s">
        <v>11</v>
      </c>
      <c r="I3981" s="5">
        <v>0</v>
      </c>
      <c r="J3981" s="4">
        <v>46002.643750000003</v>
      </c>
    </row>
    <row r="3982" spans="1:10" x14ac:dyDescent="0.2">
      <c r="A3982" s="2" t="s">
        <v>10</v>
      </c>
      <c r="B3982" s="3" t="str">
        <f t="shared" si="74"/>
        <v>INVITATION_VAD_2023</v>
      </c>
      <c r="C3982" s="3" t="str">
        <f>HYPERLINK("https://otsuka-europe-crm.veevavault.com/ui/#object/sent_email__v/VBL00000000Z020", "SE-001396568")</f>
        <v>SE-001396568</v>
      </c>
      <c r="D3982" s="4" t="s">
        <v>11</v>
      </c>
      <c r="E3982" s="5">
        <v>0</v>
      </c>
      <c r="F3982" s="5">
        <v>0</v>
      </c>
      <c r="G3982" s="5">
        <v>0</v>
      </c>
      <c r="H3982" s="4" t="s">
        <v>11</v>
      </c>
      <c r="I3982" s="5">
        <v>0</v>
      </c>
      <c r="J3982" s="4">
        <v>46003.37363425926</v>
      </c>
    </row>
    <row r="3983" spans="1:10" x14ac:dyDescent="0.2">
      <c r="A3983" s="2" t="s">
        <v>10</v>
      </c>
      <c r="B3983" s="3" t="str">
        <f t="shared" si="74"/>
        <v>INVITATION_VAD_2023</v>
      </c>
      <c r="C3983" s="3" t="str">
        <f>HYPERLINK("https://otsuka-europe-crm.veevavault.com/ui/#object/sent_email__v/VBL000000011024", "SE-001396650")</f>
        <v>SE-001396650</v>
      </c>
      <c r="D3983" s="4" t="s">
        <v>11</v>
      </c>
      <c r="E3983" s="5">
        <v>0</v>
      </c>
      <c r="F3983" s="5">
        <v>0</v>
      </c>
      <c r="G3983" s="5">
        <v>0</v>
      </c>
      <c r="H3983" s="4" t="s">
        <v>11</v>
      </c>
      <c r="I3983" s="5">
        <v>0</v>
      </c>
      <c r="J3983" s="4">
        <v>46006.45244212963</v>
      </c>
    </row>
    <row r="3984" spans="1:10" x14ac:dyDescent="0.2">
      <c r="A3984" s="2" t="s">
        <v>10</v>
      </c>
      <c r="B3984" s="3" t="str">
        <f t="shared" si="74"/>
        <v>INVITATION_VAD_2023</v>
      </c>
      <c r="C3984" s="3" t="str">
        <f>HYPERLINK("https://otsuka-europe-crm.veevavault.com/ui/#object/sent_email__v/VBL000000011025", "SE-001396651")</f>
        <v>SE-001396651</v>
      </c>
      <c r="D3984" s="4" t="s">
        <v>11</v>
      </c>
      <c r="E3984" s="5">
        <v>0</v>
      </c>
      <c r="F3984" s="5">
        <v>0</v>
      </c>
      <c r="G3984" s="5">
        <v>0</v>
      </c>
      <c r="H3984" s="4" t="s">
        <v>11</v>
      </c>
      <c r="I3984" s="5">
        <v>0</v>
      </c>
      <c r="J3984" s="4">
        <v>46006.453530092593</v>
      </c>
    </row>
    <row r="3985" spans="1:10" x14ac:dyDescent="0.2">
      <c r="A3985" s="2" t="s">
        <v>10</v>
      </c>
      <c r="B3985" s="3" t="str">
        <f t="shared" si="74"/>
        <v>INVITATION_VAD_2023</v>
      </c>
      <c r="C3985" s="3" t="str">
        <f>HYPERLINK("https://otsuka-europe-crm.veevavault.com/ui/#object/sent_email__v/VBL000000011026", "SE-001396652")</f>
        <v>SE-001396652</v>
      </c>
      <c r="D3985" s="4" t="s">
        <v>11</v>
      </c>
      <c r="E3985" s="5">
        <v>0</v>
      </c>
      <c r="F3985" s="5">
        <v>0</v>
      </c>
      <c r="G3985" s="5">
        <v>0</v>
      </c>
      <c r="H3985" s="4" t="s">
        <v>11</v>
      </c>
      <c r="I3985" s="5">
        <v>0</v>
      </c>
      <c r="J3985" s="4">
        <v>46006.454340277778</v>
      </c>
    </row>
    <row r="3986" spans="1:10" x14ac:dyDescent="0.2">
      <c r="A3986" s="2" t="s">
        <v>10</v>
      </c>
      <c r="B3986" s="3" t="str">
        <f t="shared" si="74"/>
        <v>INVITATION_VAD_2023</v>
      </c>
      <c r="C3986" s="3" t="str">
        <f>HYPERLINK("https://otsuka-europe-crm.veevavault.com/ui/#object/sent_email__v/VBL000000010115", "SE-001396953")</f>
        <v>SE-001396953</v>
      </c>
      <c r="D3986" s="4">
        <v>46008.922326388885</v>
      </c>
      <c r="E3986" s="5">
        <v>1</v>
      </c>
      <c r="F3986" s="5">
        <v>5</v>
      </c>
      <c r="G3986" s="5">
        <v>0</v>
      </c>
      <c r="H3986" s="4" t="s">
        <v>11</v>
      </c>
      <c r="I3986" s="5">
        <v>0</v>
      </c>
      <c r="J3986" s="4">
        <v>46007.407002314816</v>
      </c>
    </row>
    <row r="3987" spans="1:10" x14ac:dyDescent="0.2">
      <c r="A3987" s="2" t="s">
        <v>10</v>
      </c>
      <c r="B3987" s="3" t="str">
        <f t="shared" si="74"/>
        <v>INVITATION_VAD_2023</v>
      </c>
      <c r="C3987" s="3" t="str">
        <f>HYPERLINK("https://otsuka-europe-crm.veevavault.com/ui/#object/sent_email__v/VBL000000010116", "SE-001396954")</f>
        <v>SE-001396954</v>
      </c>
      <c r="D3987" s="4" t="s">
        <v>11</v>
      </c>
      <c r="E3987" s="5">
        <v>0</v>
      </c>
      <c r="F3987" s="5">
        <v>0</v>
      </c>
      <c r="G3987" s="5">
        <v>0</v>
      </c>
      <c r="H3987" s="4" t="s">
        <v>11</v>
      </c>
      <c r="I3987" s="5">
        <v>0</v>
      </c>
      <c r="J3987" s="4">
        <v>46007.436099537037</v>
      </c>
    </row>
    <row r="3988" spans="1:10" x14ac:dyDescent="0.2">
      <c r="A3988" s="2" t="s">
        <v>10</v>
      </c>
      <c r="B3988" s="3" t="str">
        <f t="shared" si="74"/>
        <v>INVITATION_VAD_2023</v>
      </c>
      <c r="C3988" s="3" t="str">
        <f>HYPERLINK("https://otsuka-europe-crm.veevavault.com/ui/#object/sent_email__v/VBL000000010117", "SE-001396955")</f>
        <v>SE-001396955</v>
      </c>
      <c r="D3988" s="4" t="s">
        <v>11</v>
      </c>
      <c r="E3988" s="5">
        <v>0</v>
      </c>
      <c r="F3988" s="5">
        <v>0</v>
      </c>
      <c r="G3988" s="5">
        <v>0</v>
      </c>
      <c r="H3988" s="4" t="s">
        <v>11</v>
      </c>
      <c r="I3988" s="5">
        <v>0</v>
      </c>
      <c r="J3988" s="4">
        <v>46007.436550925922</v>
      </c>
    </row>
    <row r="3989" spans="1:10" x14ac:dyDescent="0.2">
      <c r="A3989" s="2" t="s">
        <v>10</v>
      </c>
      <c r="B3989" s="3" t="str">
        <f t="shared" si="74"/>
        <v>INVITATION_VAD_2023</v>
      </c>
      <c r="C3989" s="3" t="str">
        <f>HYPERLINK("https://otsuka-europe-crm.veevavault.com/ui/#object/sent_email__v/VBL000000010123", "SE-001396963")</f>
        <v>SE-001396963</v>
      </c>
      <c r="D3989" s="4" t="s">
        <v>11</v>
      </c>
      <c r="E3989" s="5">
        <v>0</v>
      </c>
      <c r="F3989" s="5">
        <v>0</v>
      </c>
      <c r="G3989" s="5">
        <v>0</v>
      </c>
      <c r="H3989" s="4" t="s">
        <v>11</v>
      </c>
      <c r="I3989" s="5">
        <v>0</v>
      </c>
      <c r="J3989" s="4">
        <v>46007.610115740739</v>
      </c>
    </row>
    <row r="3990" spans="1:10" x14ac:dyDescent="0.2">
      <c r="A3990" s="2" t="s">
        <v>10</v>
      </c>
      <c r="B3990" s="3" t="str">
        <f t="shared" si="74"/>
        <v>INVITATION_VAD_2023</v>
      </c>
      <c r="C3990" s="3" t="str">
        <f>HYPERLINK("https://otsuka-europe-crm.veevavault.com/ui/#object/sent_email__v/VBL000000011246", "SE-001396966")</f>
        <v>SE-001396966</v>
      </c>
      <c r="D3990" s="4" t="s">
        <v>11</v>
      </c>
      <c r="E3990" s="5">
        <v>0</v>
      </c>
      <c r="F3990" s="5">
        <v>0</v>
      </c>
      <c r="G3990" s="5">
        <v>0</v>
      </c>
      <c r="H3990" s="4" t="s">
        <v>11</v>
      </c>
      <c r="I3990" s="5">
        <v>0</v>
      </c>
      <c r="J3990" s="4">
        <v>46007.629016203704</v>
      </c>
    </row>
    <row r="3991" spans="1:10" x14ac:dyDescent="0.2">
      <c r="A3991" s="2" t="s">
        <v>10</v>
      </c>
      <c r="B3991" s="3" t="str">
        <f t="shared" ref="B3991:B4054" si="75">HYPERLINK("https://otsuka-europe-crm.veevavault.com/ui/#object/approved_document__v/V5OZ04ASG4G02Y6", "INVITATION_VAD_2023")</f>
        <v>INVITATION_VAD_2023</v>
      </c>
      <c r="C3991" s="3" t="str">
        <f>HYPERLINK("https://otsuka-europe-crm.veevavault.com/ui/#object/sent_email__v/VBL000000012002", "SE-001397830")</f>
        <v>SE-001397830</v>
      </c>
      <c r="D3991" s="4">
        <v>46010.764340277776</v>
      </c>
      <c r="E3991" s="5">
        <v>1</v>
      </c>
      <c r="F3991" s="5">
        <v>3</v>
      </c>
      <c r="G3991" s="5">
        <v>0</v>
      </c>
      <c r="H3991" s="4" t="s">
        <v>11</v>
      </c>
      <c r="I3991" s="5">
        <v>0</v>
      </c>
      <c r="J3991" s="4">
        <v>46010.310185185182</v>
      </c>
    </row>
    <row r="3992" spans="1:10" x14ac:dyDescent="0.2">
      <c r="A3992" s="2" t="s">
        <v>10</v>
      </c>
      <c r="B3992" s="3" t="str">
        <f t="shared" si="75"/>
        <v>INVITATION_VAD_2023</v>
      </c>
      <c r="C3992" s="3" t="str">
        <f>HYPERLINK("https://otsuka-europe-crm.veevavault.com/ui/#object/sent_email__v/VBL000000012583", "SE-001399166")</f>
        <v>SE-001399166</v>
      </c>
      <c r="D3992" s="4" t="s">
        <v>11</v>
      </c>
      <c r="E3992" s="5">
        <v>0</v>
      </c>
      <c r="F3992" s="5">
        <v>0</v>
      </c>
      <c r="G3992" s="5">
        <v>0</v>
      </c>
      <c r="H3992" s="4" t="s">
        <v>11</v>
      </c>
      <c r="I3992" s="5">
        <v>0</v>
      </c>
      <c r="J3992" s="4">
        <v>46026.914675925924</v>
      </c>
    </row>
    <row r="3993" spans="1:10" x14ac:dyDescent="0.2">
      <c r="A3993" s="2" t="s">
        <v>10</v>
      </c>
      <c r="B3993" s="3" t="str">
        <f t="shared" si="75"/>
        <v>INVITATION_VAD_2023</v>
      </c>
      <c r="C3993" s="3" t="str">
        <f>HYPERLINK("https://otsuka-europe-crm.veevavault.com/ui/#object/sent_email__v/VBL000000013756", "SE-001399167")</f>
        <v>SE-001399167</v>
      </c>
      <c r="D3993" s="4">
        <v>46028.359965277778</v>
      </c>
      <c r="E3993" s="5">
        <v>1</v>
      </c>
      <c r="F3993" s="5">
        <v>5</v>
      </c>
      <c r="G3993" s="5">
        <v>0</v>
      </c>
      <c r="H3993" s="4" t="s">
        <v>11</v>
      </c>
      <c r="I3993" s="5">
        <v>0</v>
      </c>
      <c r="J3993" s="4">
        <v>46027.309363425928</v>
      </c>
    </row>
    <row r="3994" spans="1:10" x14ac:dyDescent="0.2">
      <c r="A3994" s="2" t="s">
        <v>10</v>
      </c>
      <c r="B3994" s="3" t="str">
        <f t="shared" si="75"/>
        <v>INVITATION_VAD_2023</v>
      </c>
      <c r="C3994" s="3" t="str">
        <f>HYPERLINK("https://otsuka-europe-crm.veevavault.com/ui/#object/sent_email__v/VBL000000012754", "SE-001399406")</f>
        <v>SE-001399406</v>
      </c>
      <c r="D3994" s="4">
        <v>46030.606180555558</v>
      </c>
      <c r="E3994" s="5">
        <v>1</v>
      </c>
      <c r="F3994" s="5">
        <v>3</v>
      </c>
      <c r="G3994" s="5">
        <v>0</v>
      </c>
      <c r="H3994" s="4" t="s">
        <v>11</v>
      </c>
      <c r="I3994" s="5">
        <v>0</v>
      </c>
      <c r="J3994" s="4">
        <v>46029.673726851855</v>
      </c>
    </row>
    <row r="3995" spans="1:10" x14ac:dyDescent="0.2">
      <c r="A3995" s="2" t="s">
        <v>10</v>
      </c>
      <c r="B3995" s="3" t="str">
        <f t="shared" si="75"/>
        <v>INVITATION_VAD_2023</v>
      </c>
      <c r="C3995" s="3" t="str">
        <f>HYPERLINK("https://otsuka-europe-crm.veevavault.com/ui/#object/sent_email__v/VBL000000012763", "SE-001399418")</f>
        <v>SE-001399418</v>
      </c>
      <c r="D3995" s="4" t="s">
        <v>11</v>
      </c>
      <c r="E3995" s="5">
        <v>0</v>
      </c>
      <c r="F3995" s="5">
        <v>0</v>
      </c>
      <c r="G3995" s="5">
        <v>0</v>
      </c>
      <c r="H3995" s="4" t="s">
        <v>11</v>
      </c>
      <c r="I3995" s="5">
        <v>0</v>
      </c>
      <c r="J3995" s="4">
        <v>46030.415185185186</v>
      </c>
    </row>
    <row r="3996" spans="1:10" x14ac:dyDescent="0.2">
      <c r="A3996" s="2" t="s">
        <v>10</v>
      </c>
      <c r="B3996" s="3" t="str">
        <f t="shared" si="75"/>
        <v>INVITATION_VAD_2023</v>
      </c>
      <c r="C3996" s="3" t="str">
        <f>HYPERLINK("https://otsuka-europe-crm.veevavault.com/ui/#object/sent_email__v/VBL000000013832", "SE-001399425")</f>
        <v>SE-001399425</v>
      </c>
      <c r="D3996" s="4">
        <v>46048.970752314817</v>
      </c>
      <c r="E3996" s="5">
        <v>1</v>
      </c>
      <c r="F3996" s="5">
        <v>33</v>
      </c>
      <c r="G3996" s="5">
        <v>0</v>
      </c>
      <c r="H3996" s="4" t="s">
        <v>11</v>
      </c>
      <c r="I3996" s="5">
        <v>0</v>
      </c>
      <c r="J3996" s="4">
        <v>46030.433715277781</v>
      </c>
    </row>
    <row r="3997" spans="1:10" x14ac:dyDescent="0.2">
      <c r="A3997" s="2" t="s">
        <v>10</v>
      </c>
      <c r="B3997" s="3" t="str">
        <f t="shared" si="75"/>
        <v>INVITATION_VAD_2023</v>
      </c>
      <c r="C3997" s="3" t="str">
        <f>HYPERLINK("https://otsuka-europe-crm.veevavault.com/ui/#object/sent_email__v/VBL000000012766", "SE-001399426")</f>
        <v>SE-001399426</v>
      </c>
      <c r="D3997" s="4">
        <v>46037.557916666665</v>
      </c>
      <c r="E3997" s="5">
        <v>1</v>
      </c>
      <c r="F3997" s="5">
        <v>2</v>
      </c>
      <c r="G3997" s="5">
        <v>0</v>
      </c>
      <c r="H3997" s="4" t="s">
        <v>11</v>
      </c>
      <c r="I3997" s="5">
        <v>0</v>
      </c>
      <c r="J3997" s="4">
        <v>46030.460243055553</v>
      </c>
    </row>
    <row r="3998" spans="1:10" x14ac:dyDescent="0.2">
      <c r="A3998" s="2" t="s">
        <v>10</v>
      </c>
      <c r="B3998" s="3" t="str">
        <f t="shared" si="75"/>
        <v>INVITATION_VAD_2023</v>
      </c>
      <c r="C3998" s="3" t="str">
        <f>HYPERLINK("https://otsuka-europe-crm.veevavault.com/ui/#object/sent_email__v/VBL000000013833", "SE-001399427")</f>
        <v>SE-001399427</v>
      </c>
      <c r="D3998" s="4">
        <v>46036.702604166669</v>
      </c>
      <c r="E3998" s="5">
        <v>1</v>
      </c>
      <c r="F3998" s="5">
        <v>2</v>
      </c>
      <c r="G3998" s="5">
        <v>0</v>
      </c>
      <c r="H3998" s="4" t="s">
        <v>11</v>
      </c>
      <c r="I3998" s="5">
        <v>0</v>
      </c>
      <c r="J3998" s="4">
        <v>46030.461898148147</v>
      </c>
    </row>
    <row r="3999" spans="1:10" x14ac:dyDescent="0.2">
      <c r="A3999" s="2" t="s">
        <v>10</v>
      </c>
      <c r="B3999" s="3" t="str">
        <f t="shared" si="75"/>
        <v>INVITATION_VAD_2023</v>
      </c>
      <c r="C3999" s="3" t="str">
        <f>HYPERLINK("https://otsuka-europe-crm.veevavault.com/ui/#object/sent_email__v/VBL000000013893", "SE-001399493")</f>
        <v>SE-001399493</v>
      </c>
      <c r="D3999" s="4">
        <v>46030.92150462963</v>
      </c>
      <c r="E3999" s="5">
        <v>1</v>
      </c>
      <c r="F3999" s="5">
        <v>1</v>
      </c>
      <c r="G3999" s="5">
        <v>0</v>
      </c>
      <c r="H3999" s="4" t="s">
        <v>11</v>
      </c>
      <c r="I3999" s="5">
        <v>0</v>
      </c>
      <c r="J3999" s="4">
        <v>46030.706157407411</v>
      </c>
    </row>
    <row r="4000" spans="1:10" x14ac:dyDescent="0.2">
      <c r="A4000" s="2" t="s">
        <v>10</v>
      </c>
      <c r="B4000" s="3" t="str">
        <f t="shared" si="75"/>
        <v>INVITATION_VAD_2023</v>
      </c>
      <c r="C4000" s="3" t="str">
        <f>HYPERLINK("https://otsuka-europe-crm.veevavault.com/ui/#object/sent_email__v/VBL000000013898", "SE-001399494")</f>
        <v>SE-001399494</v>
      </c>
      <c r="D4000" s="4" t="s">
        <v>11</v>
      </c>
      <c r="E4000" s="5">
        <v>0</v>
      </c>
      <c r="F4000" s="5">
        <v>0</v>
      </c>
      <c r="G4000" s="5">
        <v>0</v>
      </c>
      <c r="H4000" s="4" t="s">
        <v>11</v>
      </c>
      <c r="I4000" s="5">
        <v>0</v>
      </c>
      <c r="J4000" s="4">
        <v>46030.828425925924</v>
      </c>
    </row>
    <row r="4001" spans="1:10" x14ac:dyDescent="0.2">
      <c r="A4001" s="2" t="s">
        <v>10</v>
      </c>
      <c r="B4001" s="3" t="str">
        <f t="shared" si="75"/>
        <v>INVITATION_VAD_2023</v>
      </c>
      <c r="C4001" s="3" t="str">
        <f>HYPERLINK("https://otsuka-europe-crm.veevavault.com/ui/#object/sent_email__v/VBL000000012794", "SE-001399536")</f>
        <v>SE-001399536</v>
      </c>
      <c r="D4001" s="4" t="s">
        <v>11</v>
      </c>
      <c r="E4001" s="5">
        <v>0</v>
      </c>
      <c r="F4001" s="5">
        <v>0</v>
      </c>
      <c r="G4001" s="5">
        <v>0</v>
      </c>
      <c r="H4001" s="4" t="s">
        <v>11</v>
      </c>
      <c r="I4001" s="5">
        <v>0</v>
      </c>
      <c r="J4001" s="4">
        <v>46031.424467592595</v>
      </c>
    </row>
    <row r="4002" spans="1:10" x14ac:dyDescent="0.2">
      <c r="A4002" s="2" t="s">
        <v>10</v>
      </c>
      <c r="B4002" s="3" t="str">
        <f t="shared" si="75"/>
        <v>INVITATION_VAD_2023</v>
      </c>
      <c r="C4002" s="3" t="str">
        <f>HYPERLINK("https://otsuka-europe-crm.veevavault.com/ui/#object/sent_email__v/VBL000000013921", "SE-001399537")</f>
        <v>SE-001399537</v>
      </c>
      <c r="D4002" s="4">
        <v>46053.251134259262</v>
      </c>
      <c r="E4002" s="5">
        <v>1</v>
      </c>
      <c r="F4002" s="5">
        <v>3</v>
      </c>
      <c r="G4002" s="5">
        <v>0</v>
      </c>
      <c r="H4002" s="4" t="s">
        <v>11</v>
      </c>
      <c r="I4002" s="5">
        <v>0</v>
      </c>
      <c r="J4002" s="4">
        <v>46031.433576388888</v>
      </c>
    </row>
    <row r="4003" spans="1:10" x14ac:dyDescent="0.2">
      <c r="A4003" s="2" t="s">
        <v>10</v>
      </c>
      <c r="B4003" s="3" t="str">
        <f t="shared" si="75"/>
        <v>INVITATION_VAD_2023</v>
      </c>
      <c r="C4003" s="3" t="str">
        <f>HYPERLINK("https://otsuka-europe-crm.veevavault.com/ui/#object/sent_email__v/VBL000000012799", "SE-001399539")</f>
        <v>SE-001399539</v>
      </c>
      <c r="D4003" s="4" t="s">
        <v>11</v>
      </c>
      <c r="E4003" s="5">
        <v>0</v>
      </c>
      <c r="F4003" s="5">
        <v>0</v>
      </c>
      <c r="G4003" s="5">
        <v>0</v>
      </c>
      <c r="H4003" s="4" t="s">
        <v>11</v>
      </c>
      <c r="I4003" s="5">
        <v>0</v>
      </c>
      <c r="J4003" s="4">
        <v>46031.509398148148</v>
      </c>
    </row>
    <row r="4004" spans="1:10" x14ac:dyDescent="0.2">
      <c r="A4004" s="2" t="s">
        <v>10</v>
      </c>
      <c r="B4004" s="3" t="str">
        <f t="shared" si="75"/>
        <v>INVITATION_VAD_2023</v>
      </c>
      <c r="C4004" s="3" t="str">
        <f>HYPERLINK("https://otsuka-europe-crm.veevavault.com/ui/#object/sent_email__v/VBL000000012801", "SE-001399541")</f>
        <v>SE-001399541</v>
      </c>
      <c r="D4004" s="4">
        <v>46031.585451388892</v>
      </c>
      <c r="E4004" s="5">
        <v>1</v>
      </c>
      <c r="F4004" s="5">
        <v>2</v>
      </c>
      <c r="G4004" s="5">
        <v>0</v>
      </c>
      <c r="H4004" s="4" t="s">
        <v>11</v>
      </c>
      <c r="I4004" s="5">
        <v>0</v>
      </c>
      <c r="J4004" s="4">
        <v>46031.534930555557</v>
      </c>
    </row>
    <row r="4005" spans="1:10" x14ac:dyDescent="0.2">
      <c r="A4005" s="2" t="s">
        <v>10</v>
      </c>
      <c r="B4005" s="3" t="str">
        <f t="shared" si="75"/>
        <v>INVITATION_VAD_2023</v>
      </c>
      <c r="C4005" s="3" t="str">
        <f>HYPERLINK("https://otsuka-europe-crm.veevavault.com/ui/#object/sent_email__v/VBL000000013923", "SE-001399553")</f>
        <v>SE-001399553</v>
      </c>
      <c r="D4005" s="4" t="s">
        <v>11</v>
      </c>
      <c r="E4005" s="5">
        <v>0</v>
      </c>
      <c r="F4005" s="5">
        <v>0</v>
      </c>
      <c r="G4005" s="5">
        <v>0</v>
      </c>
      <c r="H4005" s="4" t="s">
        <v>11</v>
      </c>
      <c r="I4005" s="5">
        <v>0</v>
      </c>
      <c r="J4005" s="4">
        <v>46031.60229166667</v>
      </c>
    </row>
    <row r="4006" spans="1:10" x14ac:dyDescent="0.2">
      <c r="A4006" s="2" t="s">
        <v>10</v>
      </c>
      <c r="B4006" s="3" t="str">
        <f t="shared" si="75"/>
        <v>INVITATION_VAD_2023</v>
      </c>
      <c r="C4006" s="3" t="str">
        <f>HYPERLINK("https://otsuka-europe-crm.veevavault.com/ui/#object/sent_email__v/VBL000000012846", "SE-001399689")</f>
        <v>SE-001399689</v>
      </c>
      <c r="D4006" s="4">
        <v>46034.303414351853</v>
      </c>
      <c r="E4006" s="5">
        <v>1</v>
      </c>
      <c r="F4006" s="5">
        <v>1</v>
      </c>
      <c r="G4006" s="5">
        <v>0</v>
      </c>
      <c r="H4006" s="4" t="s">
        <v>11</v>
      </c>
      <c r="I4006" s="5">
        <v>0</v>
      </c>
      <c r="J4006" s="4">
        <v>46034.292685185188</v>
      </c>
    </row>
    <row r="4007" spans="1:10" x14ac:dyDescent="0.2">
      <c r="A4007" s="2" t="s">
        <v>10</v>
      </c>
      <c r="B4007" s="3" t="str">
        <f t="shared" si="75"/>
        <v>INVITATION_VAD_2023</v>
      </c>
      <c r="C4007" s="3" t="str">
        <f>HYPERLINK("https://otsuka-europe-crm.veevavault.com/ui/#object/sent_email__v/VBL000000012876", "SE-001399777")</f>
        <v>SE-001399777</v>
      </c>
      <c r="D4007" s="4">
        <v>46034.557453703703</v>
      </c>
      <c r="E4007" s="5">
        <v>1</v>
      </c>
      <c r="F4007" s="5">
        <v>1</v>
      </c>
      <c r="G4007" s="5">
        <v>0</v>
      </c>
      <c r="H4007" s="4" t="s">
        <v>11</v>
      </c>
      <c r="I4007" s="5">
        <v>0</v>
      </c>
      <c r="J4007" s="4">
        <v>46034.557268518518</v>
      </c>
    </row>
    <row r="4008" spans="1:10" x14ac:dyDescent="0.2">
      <c r="A4008" s="2" t="s">
        <v>10</v>
      </c>
      <c r="B4008" s="3" t="str">
        <f t="shared" si="75"/>
        <v>INVITATION_VAD_2023</v>
      </c>
      <c r="C4008" s="3" t="str">
        <f>HYPERLINK("https://otsuka-europe-crm.veevavault.com/ui/#object/sent_email__v/VBL000000012884", "SE-001399794")</f>
        <v>SE-001399794</v>
      </c>
      <c r="D4008" s="4" t="s">
        <v>11</v>
      </c>
      <c r="E4008" s="5">
        <v>0</v>
      </c>
      <c r="F4008" s="5">
        <v>0</v>
      </c>
      <c r="G4008" s="5">
        <v>0</v>
      </c>
      <c r="H4008" s="4" t="s">
        <v>11</v>
      </c>
      <c r="I4008" s="5">
        <v>0</v>
      </c>
      <c r="J4008" s="4">
        <v>46034.588182870371</v>
      </c>
    </row>
    <row r="4009" spans="1:10" x14ac:dyDescent="0.2">
      <c r="A4009" s="2" t="s">
        <v>10</v>
      </c>
      <c r="B4009" s="3" t="str">
        <f t="shared" si="75"/>
        <v>INVITATION_VAD_2023</v>
      </c>
      <c r="C4009" s="3" t="str">
        <f>HYPERLINK("https://otsuka-europe-crm.veevavault.com/ui/#object/sent_email__v/VBL000000012889", "SE-001399802")</f>
        <v>SE-001399802</v>
      </c>
      <c r="D4009" s="4">
        <v>46034.670439814814</v>
      </c>
      <c r="E4009" s="5">
        <v>1</v>
      </c>
      <c r="F4009" s="5">
        <v>2</v>
      </c>
      <c r="G4009" s="5">
        <v>0</v>
      </c>
      <c r="H4009" s="4" t="s">
        <v>11</v>
      </c>
      <c r="I4009" s="5">
        <v>0</v>
      </c>
      <c r="J4009" s="4">
        <v>46034.657048611109</v>
      </c>
    </row>
    <row r="4010" spans="1:10" x14ac:dyDescent="0.2">
      <c r="A4010" s="2" t="s">
        <v>10</v>
      </c>
      <c r="B4010" s="3" t="str">
        <f t="shared" si="75"/>
        <v>INVITATION_VAD_2023</v>
      </c>
      <c r="C4010" s="3" t="str">
        <f>HYPERLINK("https://otsuka-europe-crm.veevavault.com/ui/#object/sent_email__v/VBL000000014112", "SE-001399826")</f>
        <v>SE-001399826</v>
      </c>
      <c r="D4010" s="4">
        <v>46035.563391203701</v>
      </c>
      <c r="E4010" s="5">
        <v>1</v>
      </c>
      <c r="F4010" s="5">
        <v>1</v>
      </c>
      <c r="G4010" s="5">
        <v>0</v>
      </c>
      <c r="H4010" s="4" t="s">
        <v>11</v>
      </c>
      <c r="I4010" s="5">
        <v>0</v>
      </c>
      <c r="J4010" s="4">
        <v>46035.383935185186</v>
      </c>
    </row>
    <row r="4011" spans="1:10" x14ac:dyDescent="0.2">
      <c r="A4011" s="2" t="s">
        <v>10</v>
      </c>
      <c r="B4011" s="3" t="str">
        <f t="shared" si="75"/>
        <v>INVITATION_VAD_2023</v>
      </c>
      <c r="C4011" s="3" t="str">
        <f>HYPERLINK("https://otsuka-europe-crm.veevavault.com/ui/#object/sent_email__v/VBL000000012922", "SE-001399853")</f>
        <v>SE-001399853</v>
      </c>
      <c r="D4011" s="4">
        <v>46035.745532407411</v>
      </c>
      <c r="E4011" s="5">
        <v>1</v>
      </c>
      <c r="F4011" s="5">
        <v>1</v>
      </c>
      <c r="G4011" s="5">
        <v>0</v>
      </c>
      <c r="H4011" s="4" t="s">
        <v>11</v>
      </c>
      <c r="I4011" s="5">
        <v>0</v>
      </c>
      <c r="J4011" s="4">
        <v>46035.745451388888</v>
      </c>
    </row>
    <row r="4012" spans="1:10" x14ac:dyDescent="0.2">
      <c r="A4012" s="2" t="s">
        <v>10</v>
      </c>
      <c r="B4012" s="3" t="str">
        <f t="shared" si="75"/>
        <v>INVITATION_VAD_2023</v>
      </c>
      <c r="C4012" s="3" t="str">
        <f>HYPERLINK("https://otsuka-europe-crm.veevavault.com/ui/#object/sent_email__v/VBL000000014186", "SE-001399966")</f>
        <v>SE-001399966</v>
      </c>
      <c r="D4012" s="4">
        <v>46041.776585648149</v>
      </c>
      <c r="E4012" s="5">
        <v>1</v>
      </c>
      <c r="F4012" s="5">
        <v>5</v>
      </c>
      <c r="G4012" s="5">
        <v>0</v>
      </c>
      <c r="H4012" s="4" t="s">
        <v>11</v>
      </c>
      <c r="I4012" s="5">
        <v>0</v>
      </c>
      <c r="J4012" s="4">
        <v>46037.584143518521</v>
      </c>
    </row>
    <row r="4013" spans="1:10" x14ac:dyDescent="0.2">
      <c r="A4013" s="2" t="s">
        <v>10</v>
      </c>
      <c r="B4013" s="3" t="str">
        <f t="shared" si="75"/>
        <v>INVITATION_VAD_2023</v>
      </c>
      <c r="C4013" s="3" t="str">
        <f>HYPERLINK("https://otsuka-europe-crm.veevavault.com/ui/#object/sent_email__v/VBL000000012978", "SE-001399968")</f>
        <v>SE-001399968</v>
      </c>
      <c r="D4013" s="4">
        <v>46077.581018518518</v>
      </c>
      <c r="E4013" s="5">
        <v>1</v>
      </c>
      <c r="F4013" s="5">
        <v>3</v>
      </c>
      <c r="G4013" s="5">
        <v>0</v>
      </c>
      <c r="H4013" s="4" t="s">
        <v>11</v>
      </c>
      <c r="I4013" s="5">
        <v>0</v>
      </c>
      <c r="J4013" s="4">
        <v>46037.585682870369</v>
      </c>
    </row>
    <row r="4014" spans="1:10" x14ac:dyDescent="0.2">
      <c r="A4014" s="2" t="s">
        <v>10</v>
      </c>
      <c r="B4014" s="3" t="str">
        <f t="shared" si="75"/>
        <v>INVITATION_VAD_2023</v>
      </c>
      <c r="C4014" s="3" t="str">
        <f>HYPERLINK("https://otsuka-europe-crm.veevavault.com/ui/#object/sent_email__v/VBL000000014223", "SE-001400015")</f>
        <v>SE-001400015</v>
      </c>
      <c r="D4014" s="4">
        <v>46037.698275462964</v>
      </c>
      <c r="E4014" s="5">
        <v>1</v>
      </c>
      <c r="F4014" s="5">
        <v>6</v>
      </c>
      <c r="G4014" s="5">
        <v>0</v>
      </c>
      <c r="H4014" s="4" t="s">
        <v>11</v>
      </c>
      <c r="I4014" s="5">
        <v>0</v>
      </c>
      <c r="J4014" s="4">
        <v>46037.694027777776</v>
      </c>
    </row>
    <row r="4015" spans="1:10" x14ac:dyDescent="0.2">
      <c r="A4015" s="2" t="s">
        <v>10</v>
      </c>
      <c r="B4015" s="3" t="str">
        <f t="shared" si="75"/>
        <v>INVITATION_VAD_2023</v>
      </c>
      <c r="C4015" s="3" t="str">
        <f>HYPERLINK("https://otsuka-europe-crm.veevavault.com/ui/#object/sent_email__v/VBL000000016001", "SE-001400021")</f>
        <v>SE-001400021</v>
      </c>
      <c r="D4015" s="4">
        <v>46038.395069444443</v>
      </c>
      <c r="E4015" s="5">
        <v>1</v>
      </c>
      <c r="F4015" s="5">
        <v>2</v>
      </c>
      <c r="G4015" s="5">
        <v>0</v>
      </c>
      <c r="H4015" s="4" t="s">
        <v>11</v>
      </c>
      <c r="I4015" s="5">
        <v>0</v>
      </c>
      <c r="J4015" s="4">
        <v>46038.394884259258</v>
      </c>
    </row>
    <row r="4016" spans="1:10" x14ac:dyDescent="0.2">
      <c r="A4016" s="2" t="s">
        <v>10</v>
      </c>
      <c r="B4016" s="3" t="str">
        <f t="shared" si="75"/>
        <v>INVITATION_VAD_2023</v>
      </c>
      <c r="C4016" s="3" t="str">
        <f>HYPERLINK("https://otsuka-europe-crm.veevavault.com/ui/#object/sent_email__v/VBL000000015063", "SE-001400135")</f>
        <v>SE-001400135</v>
      </c>
      <c r="D4016" s="4" t="s">
        <v>11</v>
      </c>
      <c r="E4016" s="5">
        <v>0</v>
      </c>
      <c r="F4016" s="5">
        <v>0</v>
      </c>
      <c r="G4016" s="5">
        <v>0</v>
      </c>
      <c r="H4016" s="4" t="s">
        <v>11</v>
      </c>
      <c r="I4016" s="5">
        <v>0</v>
      </c>
      <c r="J4016" s="4">
        <v>46038.46371527778</v>
      </c>
    </row>
    <row r="4017" spans="1:10" x14ac:dyDescent="0.2">
      <c r="A4017" s="2" t="s">
        <v>10</v>
      </c>
      <c r="B4017" s="3" t="str">
        <f t="shared" si="75"/>
        <v>INVITATION_VAD_2023</v>
      </c>
      <c r="C4017" s="3" t="str">
        <f>HYPERLINK("https://otsuka-europe-crm.veevavault.com/ui/#object/sent_email__v/VBL000000016059", "SE-001400136")</f>
        <v>SE-001400136</v>
      </c>
      <c r="D4017" s="4" t="s">
        <v>11</v>
      </c>
      <c r="E4017" s="5">
        <v>0</v>
      </c>
      <c r="F4017" s="5">
        <v>0</v>
      </c>
      <c r="G4017" s="5">
        <v>0</v>
      </c>
      <c r="H4017" s="4" t="s">
        <v>11</v>
      </c>
      <c r="I4017" s="5">
        <v>0</v>
      </c>
      <c r="J4017" s="4">
        <v>46038.465069444443</v>
      </c>
    </row>
    <row r="4018" spans="1:10" x14ac:dyDescent="0.2">
      <c r="A4018" s="2" t="s">
        <v>10</v>
      </c>
      <c r="B4018" s="3" t="str">
        <f t="shared" si="75"/>
        <v>INVITATION_VAD_2023</v>
      </c>
      <c r="C4018" s="3" t="str">
        <f>HYPERLINK("https://otsuka-europe-crm.veevavault.com/ui/#object/sent_email__v/VBL000000016060", "SE-001400137")</f>
        <v>SE-001400137</v>
      </c>
      <c r="D4018" s="4" t="s">
        <v>11</v>
      </c>
      <c r="E4018" s="5">
        <v>0</v>
      </c>
      <c r="F4018" s="5">
        <v>0</v>
      </c>
      <c r="G4018" s="5">
        <v>0</v>
      </c>
      <c r="H4018" s="4" t="s">
        <v>11</v>
      </c>
      <c r="I4018" s="5">
        <v>0</v>
      </c>
      <c r="J4018" s="4">
        <v>46038.465405092589</v>
      </c>
    </row>
    <row r="4019" spans="1:10" x14ac:dyDescent="0.2">
      <c r="A4019" s="2" t="s">
        <v>10</v>
      </c>
      <c r="B4019" s="3" t="str">
        <f t="shared" si="75"/>
        <v>INVITATION_VAD_2023</v>
      </c>
      <c r="C4019" s="3" t="str">
        <f>HYPERLINK("https://otsuka-europe-crm.veevavault.com/ui/#object/sent_email__v/VBL000000016061", "SE-001400138")</f>
        <v>SE-001400138</v>
      </c>
      <c r="D4019" s="4" t="s">
        <v>11</v>
      </c>
      <c r="E4019" s="5">
        <v>0</v>
      </c>
      <c r="F4019" s="5">
        <v>0</v>
      </c>
      <c r="G4019" s="5">
        <v>0</v>
      </c>
      <c r="H4019" s="4" t="s">
        <v>11</v>
      </c>
      <c r="I4019" s="5">
        <v>0</v>
      </c>
      <c r="J4019" s="4">
        <v>46038.465462962966</v>
      </c>
    </row>
    <row r="4020" spans="1:10" x14ac:dyDescent="0.2">
      <c r="A4020" s="2" t="s">
        <v>10</v>
      </c>
      <c r="B4020" s="3" t="str">
        <f t="shared" si="75"/>
        <v>INVITATION_VAD_2023</v>
      </c>
      <c r="C4020" s="3" t="str">
        <f>HYPERLINK("https://otsuka-europe-crm.veevavault.com/ui/#object/sent_email__v/VBL000000015064", "SE-001400139")</f>
        <v>SE-001400139</v>
      </c>
      <c r="D4020" s="4" t="s">
        <v>11</v>
      </c>
      <c r="E4020" s="5">
        <v>0</v>
      </c>
      <c r="F4020" s="5">
        <v>0</v>
      </c>
      <c r="G4020" s="5">
        <v>0</v>
      </c>
      <c r="H4020" s="4" t="s">
        <v>11</v>
      </c>
      <c r="I4020" s="5">
        <v>0</v>
      </c>
      <c r="J4020" s="4">
        <v>46038.467268518521</v>
      </c>
    </row>
    <row r="4021" spans="1:10" x14ac:dyDescent="0.2">
      <c r="A4021" s="2" t="s">
        <v>10</v>
      </c>
      <c r="B4021" s="3" t="str">
        <f t="shared" si="75"/>
        <v>INVITATION_VAD_2023</v>
      </c>
      <c r="C4021" s="3" t="str">
        <f>HYPERLINK("https://otsuka-europe-crm.veevavault.com/ui/#object/sent_email__v/VBL000000016066", "SE-001400149")</f>
        <v>SE-001400149</v>
      </c>
      <c r="D4021" s="4" t="s">
        <v>11</v>
      </c>
      <c r="E4021" s="5">
        <v>0</v>
      </c>
      <c r="F4021" s="5">
        <v>0</v>
      </c>
      <c r="G4021" s="5">
        <v>0</v>
      </c>
      <c r="H4021" s="4" t="s">
        <v>11</v>
      </c>
      <c r="I4021" s="5">
        <v>0</v>
      </c>
      <c r="J4021" s="4">
        <v>46038.476238425923</v>
      </c>
    </row>
    <row r="4022" spans="1:10" x14ac:dyDescent="0.2">
      <c r="A4022" s="2" t="s">
        <v>10</v>
      </c>
      <c r="B4022" s="3" t="str">
        <f t="shared" si="75"/>
        <v>INVITATION_VAD_2023</v>
      </c>
      <c r="C4022" s="3" t="str">
        <f>HYPERLINK("https://otsuka-europe-crm.veevavault.com/ui/#object/sent_email__v/VBL000000015071", "SE-001400155")</f>
        <v>SE-001400155</v>
      </c>
      <c r="D4022" s="4" t="s">
        <v>11</v>
      </c>
      <c r="E4022" s="5">
        <v>0</v>
      </c>
      <c r="F4022" s="5">
        <v>0</v>
      </c>
      <c r="G4022" s="5">
        <v>0</v>
      </c>
      <c r="H4022" s="4" t="s">
        <v>11</v>
      </c>
      <c r="I4022" s="5">
        <v>0</v>
      </c>
      <c r="J4022" s="4">
        <v>46038.582280092596</v>
      </c>
    </row>
    <row r="4023" spans="1:10" x14ac:dyDescent="0.2">
      <c r="A4023" s="2" t="s">
        <v>10</v>
      </c>
      <c r="B4023" s="3" t="str">
        <f t="shared" si="75"/>
        <v>INVITATION_VAD_2023</v>
      </c>
      <c r="C4023" s="3" t="str">
        <f>HYPERLINK("https://otsuka-europe-crm.veevavault.com/ui/#object/sent_email__v/VBL000000016086", "SE-001400192")</f>
        <v>SE-001400192</v>
      </c>
      <c r="D4023" s="4">
        <v>46041.437442129631</v>
      </c>
      <c r="E4023" s="5">
        <v>1</v>
      </c>
      <c r="F4023" s="5">
        <v>3</v>
      </c>
      <c r="G4023" s="5">
        <v>0</v>
      </c>
      <c r="H4023" s="4" t="s">
        <v>11</v>
      </c>
      <c r="I4023" s="5">
        <v>0</v>
      </c>
      <c r="J4023" s="4">
        <v>46041.388055555559</v>
      </c>
    </row>
    <row r="4024" spans="1:10" x14ac:dyDescent="0.2">
      <c r="A4024" s="2" t="s">
        <v>10</v>
      </c>
      <c r="B4024" s="3" t="str">
        <f t="shared" si="75"/>
        <v>INVITATION_VAD_2023</v>
      </c>
      <c r="C4024" s="3" t="str">
        <f>HYPERLINK("https://otsuka-europe-crm.veevavault.com/ui/#object/sent_email__v/VBL000000016087", "SE-001400193")</f>
        <v>SE-001400193</v>
      </c>
      <c r="D4024" s="4">
        <v>46041.613564814812</v>
      </c>
      <c r="E4024" s="5">
        <v>1</v>
      </c>
      <c r="F4024" s="5">
        <v>1</v>
      </c>
      <c r="G4024" s="5">
        <v>0</v>
      </c>
      <c r="H4024" s="4" t="s">
        <v>11</v>
      </c>
      <c r="I4024" s="5">
        <v>0</v>
      </c>
      <c r="J4024" s="4">
        <v>46041.388113425928</v>
      </c>
    </row>
    <row r="4025" spans="1:10" x14ac:dyDescent="0.2">
      <c r="A4025" s="2" t="s">
        <v>10</v>
      </c>
      <c r="B4025" s="3" t="str">
        <f t="shared" si="75"/>
        <v>INVITATION_VAD_2023</v>
      </c>
      <c r="C4025" s="3" t="str">
        <f>HYPERLINK("https://otsuka-europe-crm.veevavault.com/ui/#object/sent_email__v/VBL000000015099", "SE-001400198")</f>
        <v>SE-001400198</v>
      </c>
      <c r="D4025" s="4" t="s">
        <v>11</v>
      </c>
      <c r="E4025" s="5">
        <v>0</v>
      </c>
      <c r="F4025" s="5">
        <v>0</v>
      </c>
      <c r="G4025" s="5">
        <v>0</v>
      </c>
      <c r="H4025" s="4" t="s">
        <v>11</v>
      </c>
      <c r="I4025" s="5">
        <v>0</v>
      </c>
      <c r="J4025" s="4">
        <v>46041.427708333336</v>
      </c>
    </row>
    <row r="4026" spans="1:10" x14ac:dyDescent="0.2">
      <c r="A4026" s="2" t="s">
        <v>10</v>
      </c>
      <c r="B4026" s="3" t="str">
        <f t="shared" si="75"/>
        <v>INVITATION_VAD_2023</v>
      </c>
      <c r="C4026" s="3" t="str">
        <f>HYPERLINK("https://otsuka-europe-crm.veevavault.com/ui/#object/sent_email__v/VBL000000016090", "SE-001400200")</f>
        <v>SE-001400200</v>
      </c>
      <c r="D4026" s="4">
        <v>46041.44253472222</v>
      </c>
      <c r="E4026" s="5">
        <v>1</v>
      </c>
      <c r="F4026" s="5">
        <v>1</v>
      </c>
      <c r="G4026" s="5">
        <v>0</v>
      </c>
      <c r="H4026" s="4" t="s">
        <v>11</v>
      </c>
      <c r="I4026" s="5">
        <v>0</v>
      </c>
      <c r="J4026" s="4">
        <v>46041.442245370374</v>
      </c>
    </row>
    <row r="4027" spans="1:10" x14ac:dyDescent="0.2">
      <c r="A4027" s="2" t="s">
        <v>10</v>
      </c>
      <c r="B4027" s="3" t="str">
        <f t="shared" si="75"/>
        <v>INVITATION_VAD_2023</v>
      </c>
      <c r="C4027" s="3" t="str">
        <f>HYPERLINK("https://otsuka-europe-crm.veevavault.com/ui/#object/sent_email__v/VBL000000015100", "SE-001400201")</f>
        <v>SE-001400201</v>
      </c>
      <c r="D4027" s="4">
        <v>46041.448425925926</v>
      </c>
      <c r="E4027" s="5">
        <v>1</v>
      </c>
      <c r="F4027" s="5">
        <v>1</v>
      </c>
      <c r="G4027" s="5">
        <v>0</v>
      </c>
      <c r="H4027" s="4" t="s">
        <v>11</v>
      </c>
      <c r="I4027" s="5">
        <v>0</v>
      </c>
      <c r="J4027" s="4">
        <v>46041.442569444444</v>
      </c>
    </row>
    <row r="4028" spans="1:10" x14ac:dyDescent="0.2">
      <c r="A4028" s="2" t="s">
        <v>10</v>
      </c>
      <c r="B4028" s="3" t="str">
        <f t="shared" si="75"/>
        <v>INVITATION_VAD_2023</v>
      </c>
      <c r="C4028" s="3" t="str">
        <f>HYPERLINK("https://otsuka-europe-crm.veevavault.com/ui/#object/sent_email__v/VBL000000015121", "SE-001400226")</f>
        <v>SE-001400226</v>
      </c>
      <c r="D4028" s="4">
        <v>46043.429328703707</v>
      </c>
      <c r="E4028" s="5">
        <v>1</v>
      </c>
      <c r="F4028" s="5">
        <v>1</v>
      </c>
      <c r="G4028" s="5">
        <v>0</v>
      </c>
      <c r="H4028" s="4" t="s">
        <v>11</v>
      </c>
      <c r="I4028" s="5">
        <v>0</v>
      </c>
      <c r="J4028" s="4">
        <v>46043.429270833331</v>
      </c>
    </row>
    <row r="4029" spans="1:10" x14ac:dyDescent="0.2">
      <c r="A4029" s="2" t="s">
        <v>10</v>
      </c>
      <c r="B4029" s="3" t="str">
        <f t="shared" si="75"/>
        <v>INVITATION_VAD_2023</v>
      </c>
      <c r="C4029" s="3" t="str">
        <f>HYPERLINK("https://otsuka-europe-crm.veevavault.com/ui/#object/sent_email__v/VBL000000015123", "SE-001400228")</f>
        <v>SE-001400228</v>
      </c>
      <c r="D4029" s="4">
        <v>46044.933078703703</v>
      </c>
      <c r="E4029" s="5">
        <v>1</v>
      </c>
      <c r="F4029" s="5">
        <v>2</v>
      </c>
      <c r="G4029" s="5">
        <v>0</v>
      </c>
      <c r="H4029" s="4" t="s">
        <v>11</v>
      </c>
      <c r="I4029" s="5">
        <v>0</v>
      </c>
      <c r="J4029" s="4">
        <v>46043.42931712963</v>
      </c>
    </row>
    <row r="4030" spans="1:10" x14ac:dyDescent="0.2">
      <c r="A4030" s="2" t="s">
        <v>10</v>
      </c>
      <c r="B4030" s="3" t="str">
        <f t="shared" si="75"/>
        <v>INVITATION_VAD_2023</v>
      </c>
      <c r="C4030" s="3" t="str">
        <f>HYPERLINK("https://otsuka-europe-crm.veevavault.com/ui/#object/sent_email__v/VBL000000016100", "SE-001400231")</f>
        <v>SE-001400231</v>
      </c>
      <c r="D4030" s="4">
        <v>46044.933078703703</v>
      </c>
      <c r="E4030" s="5">
        <v>1</v>
      </c>
      <c r="F4030" s="5">
        <v>2</v>
      </c>
      <c r="G4030" s="5">
        <v>0</v>
      </c>
      <c r="H4030" s="4" t="s">
        <v>11</v>
      </c>
      <c r="I4030" s="5">
        <v>0</v>
      </c>
      <c r="J4030" s="4">
        <v>46043.429270833331</v>
      </c>
    </row>
    <row r="4031" spans="1:10" x14ac:dyDescent="0.2">
      <c r="A4031" s="2" t="s">
        <v>10</v>
      </c>
      <c r="B4031" s="3" t="str">
        <f t="shared" si="75"/>
        <v>INVITATION_VAD_2023</v>
      </c>
      <c r="C4031" s="3" t="str">
        <f>HYPERLINK("https://otsuka-europe-crm.veevavault.com/ui/#object/sent_email__v/VBL000000015124", "SE-001400232")</f>
        <v>SE-001400232</v>
      </c>
      <c r="D4031" s="4" t="s">
        <v>11</v>
      </c>
      <c r="E4031" s="5">
        <v>0</v>
      </c>
      <c r="F4031" s="5">
        <v>0</v>
      </c>
      <c r="G4031" s="5">
        <v>0</v>
      </c>
      <c r="H4031" s="4" t="s">
        <v>11</v>
      </c>
      <c r="I4031" s="5">
        <v>0</v>
      </c>
      <c r="J4031" s="4">
        <v>46043.429039351853</v>
      </c>
    </row>
    <row r="4032" spans="1:10" x14ac:dyDescent="0.2">
      <c r="A4032" s="2" t="s">
        <v>10</v>
      </c>
      <c r="B4032" s="3" t="str">
        <f t="shared" si="75"/>
        <v>INVITATION_VAD_2023</v>
      </c>
      <c r="C4032" s="3" t="str">
        <f>HYPERLINK("https://otsuka-europe-crm.veevavault.com/ui/#object/sent_email__v/VBL000000016101", "SE-001400233")</f>
        <v>SE-001400233</v>
      </c>
      <c r="D4032" s="4" t="s">
        <v>11</v>
      </c>
      <c r="E4032" s="5">
        <v>0</v>
      </c>
      <c r="F4032" s="5">
        <v>0</v>
      </c>
      <c r="G4032" s="5">
        <v>0</v>
      </c>
      <c r="H4032" s="4" t="s">
        <v>11</v>
      </c>
      <c r="I4032" s="5">
        <v>0</v>
      </c>
      <c r="J4032" s="4">
        <v>46043.429166666669</v>
      </c>
    </row>
    <row r="4033" spans="1:10" x14ac:dyDescent="0.2">
      <c r="A4033" s="2" t="s">
        <v>10</v>
      </c>
      <c r="B4033" s="3" t="str">
        <f t="shared" si="75"/>
        <v>INVITATION_VAD_2023</v>
      </c>
      <c r="C4033" s="3" t="str">
        <f>HYPERLINK("https://otsuka-europe-crm.veevavault.com/ui/#object/sent_email__v/VBL000000015137", "SE-001400245")</f>
        <v>SE-001400245</v>
      </c>
      <c r="D4033" s="4" t="s">
        <v>11</v>
      </c>
      <c r="E4033" s="5">
        <v>0</v>
      </c>
      <c r="F4033" s="5">
        <v>0</v>
      </c>
      <c r="G4033" s="5">
        <v>0</v>
      </c>
      <c r="H4033" s="4" t="s">
        <v>11</v>
      </c>
      <c r="I4033" s="5">
        <v>0</v>
      </c>
      <c r="J4033" s="4">
        <v>46043.429236111115</v>
      </c>
    </row>
    <row r="4034" spans="1:10" x14ac:dyDescent="0.2">
      <c r="A4034" s="2" t="s">
        <v>10</v>
      </c>
      <c r="B4034" s="3" t="str">
        <f t="shared" si="75"/>
        <v>INVITATION_VAD_2023</v>
      </c>
      <c r="C4034" s="3" t="str">
        <f>HYPERLINK("https://otsuka-europe-crm.veevavault.com/ui/#object/sent_email__v/VBL000000015138", "SE-001400246")</f>
        <v>SE-001400246</v>
      </c>
      <c r="D4034" s="4" t="s">
        <v>11</v>
      </c>
      <c r="E4034" s="5">
        <v>0</v>
      </c>
      <c r="F4034" s="5">
        <v>0</v>
      </c>
      <c r="G4034" s="5">
        <v>0</v>
      </c>
      <c r="H4034" s="4" t="s">
        <v>11</v>
      </c>
      <c r="I4034" s="5">
        <v>0</v>
      </c>
      <c r="J4034" s="4">
        <v>46043.429178240738</v>
      </c>
    </row>
    <row r="4035" spans="1:10" x14ac:dyDescent="0.2">
      <c r="A4035" s="2" t="s">
        <v>10</v>
      </c>
      <c r="B4035" s="3" t="str">
        <f t="shared" si="75"/>
        <v>INVITATION_VAD_2023</v>
      </c>
      <c r="C4035" s="3" t="str">
        <f>HYPERLINK("https://otsuka-europe-crm.veevavault.com/ui/#object/sent_email__v/VBL000000016111", "SE-001400250")</f>
        <v>SE-001400250</v>
      </c>
      <c r="D4035" s="4">
        <v>46043.454282407409</v>
      </c>
      <c r="E4035" s="5">
        <v>1</v>
      </c>
      <c r="F4035" s="5">
        <v>1</v>
      </c>
      <c r="G4035" s="5">
        <v>0</v>
      </c>
      <c r="H4035" s="4" t="s">
        <v>11</v>
      </c>
      <c r="I4035" s="5">
        <v>0</v>
      </c>
      <c r="J4035" s="4">
        <v>46043.429270833331</v>
      </c>
    </row>
    <row r="4036" spans="1:10" x14ac:dyDescent="0.2">
      <c r="A4036" s="2" t="s">
        <v>10</v>
      </c>
      <c r="B4036" s="3" t="str">
        <f t="shared" si="75"/>
        <v>INVITATION_VAD_2023</v>
      </c>
      <c r="C4036" s="3" t="str">
        <f>HYPERLINK("https://otsuka-europe-crm.veevavault.com/ui/#object/sent_email__v/VBL000000015141", "SE-001400251")</f>
        <v>SE-001400251</v>
      </c>
      <c r="D4036" s="4" t="s">
        <v>11</v>
      </c>
      <c r="E4036" s="5">
        <v>0</v>
      </c>
      <c r="F4036" s="5">
        <v>0</v>
      </c>
      <c r="G4036" s="5">
        <v>0</v>
      </c>
      <c r="H4036" s="4" t="s">
        <v>11</v>
      </c>
      <c r="I4036" s="5">
        <v>0</v>
      </c>
      <c r="J4036" s="4">
        <v>46043.429189814815</v>
      </c>
    </row>
    <row r="4037" spans="1:10" x14ac:dyDescent="0.2">
      <c r="A4037" s="2" t="s">
        <v>10</v>
      </c>
      <c r="B4037" s="3" t="str">
        <f t="shared" si="75"/>
        <v>INVITATION_VAD_2023</v>
      </c>
      <c r="C4037" s="3" t="str">
        <f>HYPERLINK("https://otsuka-europe-crm.veevavault.com/ui/#object/sent_email__v/VBL000000016144", "SE-001400354")</f>
        <v>SE-001400354</v>
      </c>
      <c r="D4037" s="4">
        <v>46043.454097222224</v>
      </c>
      <c r="E4037" s="5">
        <v>1</v>
      </c>
      <c r="F4037" s="5">
        <v>1</v>
      </c>
      <c r="G4037" s="5">
        <v>0</v>
      </c>
      <c r="H4037" s="4" t="s">
        <v>11</v>
      </c>
      <c r="I4037" s="5">
        <v>0</v>
      </c>
      <c r="J4037" s="4">
        <v>46043.428946759261</v>
      </c>
    </row>
    <row r="4038" spans="1:10" x14ac:dyDescent="0.2">
      <c r="A4038" s="2" t="s">
        <v>10</v>
      </c>
      <c r="B4038" s="3" t="str">
        <f t="shared" si="75"/>
        <v>INVITATION_VAD_2023</v>
      </c>
      <c r="C4038" s="3" t="str">
        <f>HYPERLINK("https://otsuka-europe-crm.veevavault.com/ui/#object/sent_email__v/VBL000000015212", "SE-001400419")</f>
        <v>SE-001400419</v>
      </c>
      <c r="D4038" s="4">
        <v>46043.454317129632</v>
      </c>
      <c r="E4038" s="5">
        <v>1</v>
      </c>
      <c r="F4038" s="5">
        <v>1</v>
      </c>
      <c r="G4038" s="5">
        <v>0</v>
      </c>
      <c r="H4038" s="4" t="s">
        <v>11</v>
      </c>
      <c r="I4038" s="5">
        <v>0</v>
      </c>
      <c r="J4038" s="4">
        <v>46043.429375</v>
      </c>
    </row>
    <row r="4039" spans="1:10" x14ac:dyDescent="0.2">
      <c r="A4039" s="2" t="s">
        <v>10</v>
      </c>
      <c r="B4039" s="3" t="str">
        <f t="shared" si="75"/>
        <v>INVITATION_VAD_2023</v>
      </c>
      <c r="C4039" s="3" t="str">
        <f>HYPERLINK("https://otsuka-europe-crm.veevavault.com/ui/#object/sent_email__v/VBL000000015213", "SE-001400420")</f>
        <v>SE-001400420</v>
      </c>
      <c r="D4039" s="4">
        <v>46043.454201388886</v>
      </c>
      <c r="E4039" s="5">
        <v>1</v>
      </c>
      <c r="F4039" s="5">
        <v>1</v>
      </c>
      <c r="G4039" s="5">
        <v>0</v>
      </c>
      <c r="H4039" s="4" t="s">
        <v>11</v>
      </c>
      <c r="I4039" s="5">
        <v>0</v>
      </c>
      <c r="J4039" s="4">
        <v>46043.428969907407</v>
      </c>
    </row>
    <row r="4040" spans="1:10" x14ac:dyDescent="0.2">
      <c r="A4040" s="2" t="s">
        <v>10</v>
      </c>
      <c r="B4040" s="3" t="str">
        <f t="shared" si="75"/>
        <v>INVITATION_VAD_2023</v>
      </c>
      <c r="C4040" s="3" t="str">
        <f>HYPERLINK("https://otsuka-europe-crm.veevavault.com/ui/#object/sent_email__v/VBL000000015222", "SE-001400430")</f>
        <v>SE-001400430</v>
      </c>
      <c r="D4040" s="4" t="s">
        <v>11</v>
      </c>
      <c r="E4040" s="5">
        <v>0</v>
      </c>
      <c r="F4040" s="5">
        <v>0</v>
      </c>
      <c r="G4040" s="5">
        <v>0</v>
      </c>
      <c r="H4040" s="4" t="s">
        <v>11</v>
      </c>
      <c r="I4040" s="5">
        <v>0</v>
      </c>
      <c r="J4040" s="4">
        <v>46043.429166666669</v>
      </c>
    </row>
    <row r="4041" spans="1:10" x14ac:dyDescent="0.2">
      <c r="A4041" s="2" t="s">
        <v>10</v>
      </c>
      <c r="B4041" s="3" t="str">
        <f t="shared" si="75"/>
        <v>INVITATION_VAD_2023</v>
      </c>
      <c r="C4041" s="3" t="str">
        <f>HYPERLINK("https://otsuka-europe-crm.veevavault.com/ui/#object/sent_email__v/VBL000000015223", "SE-001400431")</f>
        <v>SE-001400431</v>
      </c>
      <c r="D4041" s="4" t="s">
        <v>11</v>
      </c>
      <c r="E4041" s="5">
        <v>0</v>
      </c>
      <c r="F4041" s="5">
        <v>0</v>
      </c>
      <c r="G4041" s="5">
        <v>0</v>
      </c>
      <c r="H4041" s="4" t="s">
        <v>11</v>
      </c>
      <c r="I4041" s="5">
        <v>0</v>
      </c>
      <c r="J4041" s="4">
        <v>46043.429097222222</v>
      </c>
    </row>
    <row r="4042" spans="1:10" x14ac:dyDescent="0.2">
      <c r="A4042" s="2" t="s">
        <v>10</v>
      </c>
      <c r="B4042" s="3" t="str">
        <f t="shared" si="75"/>
        <v>INVITATION_VAD_2023</v>
      </c>
      <c r="C4042" s="3" t="str">
        <f>HYPERLINK("https://otsuka-europe-crm.veevavault.com/ui/#object/sent_email__v/VBL000000016215", "SE-001400434")</f>
        <v>SE-001400434</v>
      </c>
      <c r="D4042" s="4">
        <v>46044.933078703703</v>
      </c>
      <c r="E4042" s="5">
        <v>1</v>
      </c>
      <c r="F4042" s="5">
        <v>2</v>
      </c>
      <c r="G4042" s="5">
        <v>0</v>
      </c>
      <c r="H4042" s="4" t="s">
        <v>11</v>
      </c>
      <c r="I4042" s="5">
        <v>0</v>
      </c>
      <c r="J4042" s="4">
        <v>46043.428993055553</v>
      </c>
    </row>
    <row r="4043" spans="1:10" x14ac:dyDescent="0.2">
      <c r="A4043" s="2" t="s">
        <v>10</v>
      </c>
      <c r="B4043" s="3" t="str">
        <f t="shared" si="75"/>
        <v>INVITATION_VAD_2023</v>
      </c>
      <c r="C4043" s="3" t="str">
        <f>HYPERLINK("https://otsuka-europe-crm.veevavault.com/ui/#object/sent_email__v/VBL000000016216", "SE-001400435")</f>
        <v>SE-001400435</v>
      </c>
      <c r="D4043" s="4" t="s">
        <v>11</v>
      </c>
      <c r="E4043" s="5">
        <v>0</v>
      </c>
      <c r="F4043" s="5">
        <v>0</v>
      </c>
      <c r="G4043" s="5">
        <v>0</v>
      </c>
      <c r="H4043" s="4" t="s">
        <v>11</v>
      </c>
      <c r="I4043" s="5">
        <v>0</v>
      </c>
      <c r="J4043" s="4">
        <v>46043.429236111115</v>
      </c>
    </row>
    <row r="4044" spans="1:10" x14ac:dyDescent="0.2">
      <c r="A4044" s="2" t="s">
        <v>10</v>
      </c>
      <c r="B4044" s="3" t="str">
        <f t="shared" si="75"/>
        <v>INVITATION_VAD_2023</v>
      </c>
      <c r="C4044" s="3" t="str">
        <f>HYPERLINK("https://otsuka-europe-crm.veevavault.com/ui/#object/sent_email__v/VBL000000016217", "SE-001400436")</f>
        <v>SE-001400436</v>
      </c>
      <c r="D4044" s="4">
        <v>46043.604189814818</v>
      </c>
      <c r="E4044" s="5">
        <v>1</v>
      </c>
      <c r="F4044" s="5">
        <v>1</v>
      </c>
      <c r="G4044" s="5">
        <v>0</v>
      </c>
      <c r="H4044" s="4" t="s">
        <v>11</v>
      </c>
      <c r="I4044" s="5">
        <v>0</v>
      </c>
      <c r="J4044" s="4">
        <v>46043.429293981484</v>
      </c>
    </row>
    <row r="4045" spans="1:10" x14ac:dyDescent="0.2">
      <c r="A4045" s="2" t="s">
        <v>10</v>
      </c>
      <c r="B4045" s="3" t="str">
        <f t="shared" si="75"/>
        <v>INVITATION_VAD_2023</v>
      </c>
      <c r="C4045" s="3" t="str">
        <f>HYPERLINK("https://otsuka-europe-crm.veevavault.com/ui/#object/sent_email__v/VBL000000015236", "SE-001400582")</f>
        <v>SE-001400582</v>
      </c>
      <c r="D4045" s="4" t="s">
        <v>11</v>
      </c>
      <c r="E4045" s="5">
        <v>0</v>
      </c>
      <c r="F4045" s="5">
        <v>0</v>
      </c>
      <c r="G4045" s="5">
        <v>0</v>
      </c>
      <c r="H4045" s="4" t="s">
        <v>11</v>
      </c>
      <c r="I4045" s="5">
        <v>0</v>
      </c>
      <c r="J4045" s="4">
        <v>46043.429062499999</v>
      </c>
    </row>
    <row r="4046" spans="1:10" x14ac:dyDescent="0.2">
      <c r="A4046" s="2" t="s">
        <v>10</v>
      </c>
      <c r="B4046" s="3" t="str">
        <f t="shared" si="75"/>
        <v>INVITATION_VAD_2023</v>
      </c>
      <c r="C4046" s="3" t="str">
        <f>HYPERLINK("https://otsuka-europe-crm.veevavault.com/ui/#object/sent_email__v/VBL000000015241", "SE-001400590")</f>
        <v>SE-001400590</v>
      </c>
      <c r="D4046" s="4">
        <v>46043.494814814818</v>
      </c>
      <c r="E4046" s="5">
        <v>1</v>
      </c>
      <c r="F4046" s="5">
        <v>2</v>
      </c>
      <c r="G4046" s="5">
        <v>0</v>
      </c>
      <c r="H4046" s="4" t="s">
        <v>11</v>
      </c>
      <c r="I4046" s="5">
        <v>0</v>
      </c>
      <c r="J4046" s="4">
        <v>46043.42931712963</v>
      </c>
    </row>
    <row r="4047" spans="1:10" x14ac:dyDescent="0.2">
      <c r="A4047" s="2" t="s">
        <v>10</v>
      </c>
      <c r="B4047" s="3" t="str">
        <f t="shared" si="75"/>
        <v>INVITATION_VAD_2023</v>
      </c>
      <c r="C4047" s="3" t="str">
        <f>HYPERLINK("https://otsuka-europe-crm.veevavault.com/ui/#object/sent_email__v/VBL000000016360", "SE-001400606")</f>
        <v>SE-001400606</v>
      </c>
      <c r="D4047" s="4">
        <v>46043.628692129627</v>
      </c>
      <c r="E4047" s="5">
        <v>1</v>
      </c>
      <c r="F4047" s="5">
        <v>1</v>
      </c>
      <c r="G4047" s="5">
        <v>0</v>
      </c>
      <c r="H4047" s="4" t="s">
        <v>11</v>
      </c>
      <c r="I4047" s="5">
        <v>0</v>
      </c>
      <c r="J4047" s="4">
        <v>46043.471504629626</v>
      </c>
    </row>
    <row r="4048" spans="1:10" x14ac:dyDescent="0.2">
      <c r="A4048" s="2" t="s">
        <v>10</v>
      </c>
      <c r="B4048" s="3" t="str">
        <f t="shared" si="75"/>
        <v>INVITATION_VAD_2023</v>
      </c>
      <c r="C4048" s="3" t="str">
        <f>HYPERLINK("https://otsuka-europe-crm.veevavault.com/ui/#object/sent_email__v/VBL000000016361", "SE-001400607")</f>
        <v>SE-001400607</v>
      </c>
      <c r="D4048" s="4">
        <v>46043.628692129627</v>
      </c>
      <c r="E4048" s="5">
        <v>1</v>
      </c>
      <c r="F4048" s="5">
        <v>1</v>
      </c>
      <c r="G4048" s="5">
        <v>0</v>
      </c>
      <c r="H4048" s="4" t="s">
        <v>11</v>
      </c>
      <c r="I4048" s="5">
        <v>0</v>
      </c>
      <c r="J4048" s="4">
        <v>46043.471504629626</v>
      </c>
    </row>
    <row r="4049" spans="1:10" x14ac:dyDescent="0.2">
      <c r="A4049" s="2" t="s">
        <v>10</v>
      </c>
      <c r="B4049" s="3" t="str">
        <f t="shared" si="75"/>
        <v>INVITATION_VAD_2023</v>
      </c>
      <c r="C4049" s="3" t="str">
        <f>HYPERLINK("https://otsuka-europe-crm.veevavault.com/ui/#object/sent_email__v/VBL000000015255", "SE-001400613")</f>
        <v>SE-001400613</v>
      </c>
      <c r="D4049" s="4" t="s">
        <v>11</v>
      </c>
      <c r="E4049" s="5">
        <v>0</v>
      </c>
      <c r="F4049" s="5">
        <v>0</v>
      </c>
      <c r="G4049" s="5">
        <v>0</v>
      </c>
      <c r="H4049" s="4" t="s">
        <v>11</v>
      </c>
      <c r="I4049" s="5">
        <v>0</v>
      </c>
      <c r="J4049" s="4">
        <v>46043.471504629626</v>
      </c>
    </row>
    <row r="4050" spans="1:10" x14ac:dyDescent="0.2">
      <c r="A4050" s="2" t="s">
        <v>10</v>
      </c>
      <c r="B4050" s="3" t="str">
        <f t="shared" si="75"/>
        <v>INVITATION_VAD_2023</v>
      </c>
      <c r="C4050" s="3" t="str">
        <f>HYPERLINK("https://otsuka-europe-crm.veevavault.com/ui/#object/sent_email__v/VBL000000015265", "SE-001400631")</f>
        <v>SE-001400631</v>
      </c>
      <c r="D4050" s="4">
        <v>46043.428356481483</v>
      </c>
      <c r="E4050" s="5">
        <v>1</v>
      </c>
      <c r="F4050" s="5">
        <v>1</v>
      </c>
      <c r="G4050" s="5">
        <v>0</v>
      </c>
      <c r="H4050" s="4" t="s">
        <v>11</v>
      </c>
      <c r="I4050" s="5">
        <v>0</v>
      </c>
      <c r="J4050" s="4">
        <v>46043.42827546296</v>
      </c>
    </row>
    <row r="4051" spans="1:10" x14ac:dyDescent="0.2">
      <c r="A4051" s="2" t="s">
        <v>10</v>
      </c>
      <c r="B4051" s="3" t="str">
        <f t="shared" si="75"/>
        <v>INVITATION_VAD_2023</v>
      </c>
      <c r="C4051" s="3" t="str">
        <f>HYPERLINK("https://otsuka-europe-crm.veevavault.com/ui/#object/sent_email__v/VBL000000016456", "SE-001400733")</f>
        <v>SE-001400733</v>
      </c>
      <c r="D4051" s="4">
        <v>46043.601851851854</v>
      </c>
      <c r="E4051" s="5">
        <v>1</v>
      </c>
      <c r="F4051" s="5">
        <v>1</v>
      </c>
      <c r="G4051" s="5">
        <v>0</v>
      </c>
      <c r="H4051" s="4" t="s">
        <v>11</v>
      </c>
      <c r="I4051" s="5">
        <v>0</v>
      </c>
      <c r="J4051" s="4">
        <v>46043.594548611109</v>
      </c>
    </row>
    <row r="4052" spans="1:10" x14ac:dyDescent="0.2">
      <c r="A4052" s="2" t="s">
        <v>10</v>
      </c>
      <c r="B4052" s="3" t="str">
        <f t="shared" si="75"/>
        <v>INVITATION_VAD_2023</v>
      </c>
      <c r="C4052" s="3" t="str">
        <f>HYPERLINK("https://otsuka-europe-crm.veevavault.com/ui/#object/sent_email__v/VBL000000016532", "SE-001400833")</f>
        <v>SE-001400833</v>
      </c>
      <c r="D4052" s="4" t="s">
        <v>11</v>
      </c>
      <c r="E4052" s="5">
        <v>0</v>
      </c>
      <c r="F4052" s="5">
        <v>0</v>
      </c>
      <c r="G4052" s="5">
        <v>0</v>
      </c>
      <c r="H4052" s="4" t="s">
        <v>11</v>
      </c>
      <c r="I4052" s="5">
        <v>0</v>
      </c>
      <c r="J4052" s="4">
        <v>46044.844293981485</v>
      </c>
    </row>
    <row r="4053" spans="1:10" x14ac:dyDescent="0.2">
      <c r="A4053" s="2" t="s">
        <v>10</v>
      </c>
      <c r="B4053" s="3" t="str">
        <f t="shared" si="75"/>
        <v>INVITATION_VAD_2023</v>
      </c>
      <c r="C4053" s="3" t="str">
        <f>HYPERLINK("https://otsuka-europe-crm.veevavault.com/ui/#object/sent_email__v/VBL000000015319", "SE-001400838")</f>
        <v>SE-001400838</v>
      </c>
      <c r="D4053" s="4" t="s">
        <v>11</v>
      </c>
      <c r="E4053" s="5">
        <v>0</v>
      </c>
      <c r="F4053" s="5">
        <v>0</v>
      </c>
      <c r="G4053" s="5">
        <v>0</v>
      </c>
      <c r="H4053" s="4" t="s">
        <v>11</v>
      </c>
      <c r="I4053" s="5">
        <v>0</v>
      </c>
      <c r="J4053" s="4">
        <v>46045.343518518515</v>
      </c>
    </row>
    <row r="4054" spans="1:10" x14ac:dyDescent="0.2">
      <c r="A4054" s="2" t="s">
        <v>10</v>
      </c>
      <c r="B4054" s="3" t="str">
        <f t="shared" si="75"/>
        <v>INVITATION_VAD_2023</v>
      </c>
      <c r="C4054" s="3" t="str">
        <f>HYPERLINK("https://otsuka-europe-crm.veevavault.com/ui/#object/sent_email__v/VBL000000015320", "SE-001400841")</f>
        <v>SE-001400841</v>
      </c>
      <c r="D4054" s="4" t="s">
        <v>11</v>
      </c>
      <c r="E4054" s="5">
        <v>0</v>
      </c>
      <c r="F4054" s="5">
        <v>0</v>
      </c>
      <c r="G4054" s="5">
        <v>0</v>
      </c>
      <c r="H4054" s="4" t="s">
        <v>11</v>
      </c>
      <c r="I4054" s="5">
        <v>0</v>
      </c>
      <c r="J4054" s="4">
        <v>46045.344618055555</v>
      </c>
    </row>
    <row r="4055" spans="1:10" x14ac:dyDescent="0.2">
      <c r="A4055" s="2" t="s">
        <v>10</v>
      </c>
      <c r="B4055" s="3" t="str">
        <f t="shared" ref="B4055:B4118" si="76">HYPERLINK("https://otsuka-europe-crm.veevavault.com/ui/#object/approved_document__v/V5OZ04ASG4G02Y6", "INVITATION_VAD_2023")</f>
        <v>INVITATION_VAD_2023</v>
      </c>
      <c r="C4055" s="3" t="str">
        <f>HYPERLINK("https://otsuka-europe-crm.veevavault.com/ui/#object/sent_email__v/VBL000000016576", "SE-001400892")</f>
        <v>SE-001400892</v>
      </c>
      <c r="D4055" s="4">
        <v>46058.474826388891</v>
      </c>
      <c r="E4055" s="5">
        <v>1</v>
      </c>
      <c r="F4055" s="5">
        <v>1</v>
      </c>
      <c r="G4055" s="5">
        <v>0</v>
      </c>
      <c r="H4055" s="4" t="s">
        <v>11</v>
      </c>
      <c r="I4055" s="5">
        <v>0</v>
      </c>
      <c r="J4055" s="4">
        <v>46045.677916666667</v>
      </c>
    </row>
    <row r="4056" spans="1:10" x14ac:dyDescent="0.2">
      <c r="A4056" s="2" t="s">
        <v>10</v>
      </c>
      <c r="B4056" s="3" t="str">
        <f t="shared" si="76"/>
        <v>INVITATION_VAD_2023</v>
      </c>
      <c r="C4056" s="3" t="str">
        <f>HYPERLINK("https://otsuka-europe-crm.veevavault.com/ui/#object/sent_email__v/VBL000000016578", "SE-001400894")</f>
        <v>SE-001400894</v>
      </c>
      <c r="D4056" s="4">
        <v>46078.117199074077</v>
      </c>
      <c r="E4056" s="5">
        <v>1</v>
      </c>
      <c r="F4056" s="5">
        <v>4</v>
      </c>
      <c r="G4056" s="5">
        <v>0</v>
      </c>
      <c r="H4056" s="4" t="s">
        <v>11</v>
      </c>
      <c r="I4056" s="5">
        <v>0</v>
      </c>
      <c r="J4056" s="4">
        <v>46045.678668981483</v>
      </c>
    </row>
    <row r="4057" spans="1:10" x14ac:dyDescent="0.2">
      <c r="A4057" s="2" t="s">
        <v>10</v>
      </c>
      <c r="B4057" s="3" t="str">
        <f t="shared" si="76"/>
        <v>INVITATION_VAD_2023</v>
      </c>
      <c r="C4057" s="3" t="str">
        <f>HYPERLINK("https://otsuka-europe-crm.veevavault.com/ui/#object/sent_email__v/VBL000000016579", "SE-001400895")</f>
        <v>SE-001400895</v>
      </c>
      <c r="D4057" s="4">
        <v>46046.374016203707</v>
      </c>
      <c r="E4057" s="5">
        <v>1</v>
      </c>
      <c r="F4057" s="5">
        <v>2</v>
      </c>
      <c r="G4057" s="5">
        <v>0</v>
      </c>
      <c r="H4057" s="4" t="s">
        <v>11</v>
      </c>
      <c r="I4057" s="5">
        <v>0</v>
      </c>
      <c r="J4057" s="4">
        <v>46045.679375</v>
      </c>
    </row>
    <row r="4058" spans="1:10" x14ac:dyDescent="0.2">
      <c r="A4058" s="2" t="s">
        <v>10</v>
      </c>
      <c r="B4058" s="3" t="str">
        <f t="shared" si="76"/>
        <v>INVITATION_VAD_2023</v>
      </c>
      <c r="C4058" s="3" t="str">
        <f>HYPERLINK("https://otsuka-europe-crm.veevavault.com/ui/#object/sent_email__v/VBL000000016580", "SE-001400896")</f>
        <v>SE-001400896</v>
      </c>
      <c r="D4058" s="4" t="s">
        <v>11</v>
      </c>
      <c r="E4058" s="5">
        <v>0</v>
      </c>
      <c r="F4058" s="5">
        <v>0</v>
      </c>
      <c r="G4058" s="5">
        <v>0</v>
      </c>
      <c r="H4058" s="4" t="s">
        <v>11</v>
      </c>
      <c r="I4058" s="5">
        <v>0</v>
      </c>
      <c r="J4058" s="4">
        <v>46045.680358796293</v>
      </c>
    </row>
    <row r="4059" spans="1:10" x14ac:dyDescent="0.2">
      <c r="A4059" s="2" t="s">
        <v>10</v>
      </c>
      <c r="B4059" s="3" t="str">
        <f t="shared" si="76"/>
        <v>INVITATION_VAD_2023</v>
      </c>
      <c r="C4059" s="3" t="str">
        <f>HYPERLINK("https://otsuka-europe-crm.veevavault.com/ui/#object/sent_email__v/VBL000000016581", "SE-001400897")</f>
        <v>SE-001400897</v>
      </c>
      <c r="D4059" s="4" t="s">
        <v>11</v>
      </c>
      <c r="E4059" s="5">
        <v>0</v>
      </c>
      <c r="F4059" s="5">
        <v>0</v>
      </c>
      <c r="G4059" s="5">
        <v>0</v>
      </c>
      <c r="H4059" s="4" t="s">
        <v>11</v>
      </c>
      <c r="I4059" s="5">
        <v>0</v>
      </c>
      <c r="J4059" s="4">
        <v>46045.680856481478</v>
      </c>
    </row>
    <row r="4060" spans="1:10" x14ac:dyDescent="0.2">
      <c r="A4060" s="2" t="s">
        <v>10</v>
      </c>
      <c r="B4060" s="3" t="str">
        <f t="shared" si="76"/>
        <v>INVITATION_VAD_2023</v>
      </c>
      <c r="C4060" s="3" t="str">
        <f>HYPERLINK("https://otsuka-europe-crm.veevavault.com/ui/#object/sent_email__v/VBL000000016637", "SE-001400992")</f>
        <v>SE-001400992</v>
      </c>
      <c r="D4060" s="4">
        <v>46064.676689814813</v>
      </c>
      <c r="E4060" s="5">
        <v>1</v>
      </c>
      <c r="F4060" s="5">
        <v>1</v>
      </c>
      <c r="G4060" s="5">
        <v>0</v>
      </c>
      <c r="H4060" s="4" t="s">
        <v>11</v>
      </c>
      <c r="I4060" s="5">
        <v>0</v>
      </c>
      <c r="J4060" s="4">
        <v>46048.64707175926</v>
      </c>
    </row>
    <row r="4061" spans="1:10" x14ac:dyDescent="0.2">
      <c r="A4061" s="2" t="s">
        <v>10</v>
      </c>
      <c r="B4061" s="3" t="str">
        <f t="shared" si="76"/>
        <v>INVITATION_VAD_2023</v>
      </c>
      <c r="C4061" s="3" t="str">
        <f>HYPERLINK("https://otsuka-europe-crm.veevavault.com/ui/#object/sent_email__v/VBL000000016638", "SE-001400993")</f>
        <v>SE-001400993</v>
      </c>
      <c r="D4061" s="4">
        <v>46052.467361111114</v>
      </c>
      <c r="E4061" s="5">
        <v>1</v>
      </c>
      <c r="F4061" s="5">
        <v>6</v>
      </c>
      <c r="G4061" s="5">
        <v>0</v>
      </c>
      <c r="H4061" s="4" t="s">
        <v>11</v>
      </c>
      <c r="I4061" s="5">
        <v>0</v>
      </c>
      <c r="J4061" s="4">
        <v>46048.647291666668</v>
      </c>
    </row>
    <row r="4062" spans="1:10" x14ac:dyDescent="0.2">
      <c r="A4062" s="2" t="s">
        <v>10</v>
      </c>
      <c r="B4062" s="3" t="str">
        <f t="shared" si="76"/>
        <v>INVITATION_VAD_2023</v>
      </c>
      <c r="C4062" s="3" t="str">
        <f>HYPERLINK("https://otsuka-europe-crm.veevavault.com/ui/#object/sent_email__v/VBL000000016639", "SE-001400994")</f>
        <v>SE-001400994</v>
      </c>
      <c r="D4062" s="4">
        <v>46049.350254629629</v>
      </c>
      <c r="E4062" s="5">
        <v>1</v>
      </c>
      <c r="F4062" s="5">
        <v>3</v>
      </c>
      <c r="G4062" s="5">
        <v>0</v>
      </c>
      <c r="H4062" s="4" t="s">
        <v>11</v>
      </c>
      <c r="I4062" s="5">
        <v>0</v>
      </c>
      <c r="J4062" s="4">
        <v>46048.647523148145</v>
      </c>
    </row>
    <row r="4063" spans="1:10" x14ac:dyDescent="0.2">
      <c r="A4063" s="2" t="s">
        <v>10</v>
      </c>
      <c r="B4063" s="3" t="str">
        <f t="shared" si="76"/>
        <v>INVITATION_VAD_2023</v>
      </c>
      <c r="C4063" s="3" t="str">
        <f>HYPERLINK("https://otsuka-europe-crm.veevavault.com/ui/#object/sent_email__v/VBL000000015387", "SE-001400995")</f>
        <v>SE-001400995</v>
      </c>
      <c r="D4063" s="4">
        <v>46053.377754629626</v>
      </c>
      <c r="E4063" s="5">
        <v>1</v>
      </c>
      <c r="F4063" s="5">
        <v>3</v>
      </c>
      <c r="G4063" s="5">
        <v>0</v>
      </c>
      <c r="H4063" s="4" t="s">
        <v>11</v>
      </c>
      <c r="I4063" s="5">
        <v>0</v>
      </c>
      <c r="J4063" s="4">
        <v>46048.64770833333</v>
      </c>
    </row>
    <row r="4064" spans="1:10" x14ac:dyDescent="0.2">
      <c r="A4064" s="2" t="s">
        <v>10</v>
      </c>
      <c r="B4064" s="3" t="str">
        <f t="shared" si="76"/>
        <v>INVITATION_VAD_2023</v>
      </c>
      <c r="C4064" s="3" t="str">
        <f>HYPERLINK("https://otsuka-europe-crm.veevavault.com/ui/#object/sent_email__v/VBL000000016640", "SE-001400996")</f>
        <v>SE-001400996</v>
      </c>
      <c r="D4064" s="4">
        <v>46048.771793981483</v>
      </c>
      <c r="E4064" s="5">
        <v>1</v>
      </c>
      <c r="F4064" s="5">
        <v>1</v>
      </c>
      <c r="G4064" s="5">
        <v>0</v>
      </c>
      <c r="H4064" s="4" t="s">
        <v>11</v>
      </c>
      <c r="I4064" s="5">
        <v>0</v>
      </c>
      <c r="J4064" s="4">
        <v>46048.647800925923</v>
      </c>
    </row>
    <row r="4065" spans="1:10" x14ac:dyDescent="0.2">
      <c r="A4065" s="2" t="s">
        <v>10</v>
      </c>
      <c r="B4065" s="3" t="str">
        <f t="shared" si="76"/>
        <v>INVITATION_VAD_2023</v>
      </c>
      <c r="C4065" s="3" t="str">
        <f>HYPERLINK("https://otsuka-europe-crm.veevavault.com/ui/#object/sent_email__v/VBL000000016922", "SE-001401723")</f>
        <v>SE-001401723</v>
      </c>
      <c r="D4065" s="4" t="s">
        <v>11</v>
      </c>
      <c r="E4065" s="5">
        <v>0</v>
      </c>
      <c r="F4065" s="5">
        <v>0</v>
      </c>
      <c r="G4065" s="5">
        <v>0</v>
      </c>
      <c r="H4065" s="4" t="s">
        <v>11</v>
      </c>
      <c r="I4065" s="5">
        <v>0</v>
      </c>
      <c r="J4065" s="4">
        <v>46049.432337962964</v>
      </c>
    </row>
    <row r="4066" spans="1:10" x14ac:dyDescent="0.2">
      <c r="A4066" s="2" t="s">
        <v>10</v>
      </c>
      <c r="B4066" s="3" t="str">
        <f t="shared" si="76"/>
        <v>INVITATION_VAD_2023</v>
      </c>
      <c r="C4066" s="3" t="str">
        <f>HYPERLINK("https://otsuka-europe-crm.veevavault.com/ui/#object/sent_email__v/VBL000000017057", "SE-001402023")</f>
        <v>SE-001402023</v>
      </c>
      <c r="D4066" s="4">
        <v>46050.325879629629</v>
      </c>
      <c r="E4066" s="5">
        <v>1</v>
      </c>
      <c r="F4066" s="5">
        <v>1</v>
      </c>
      <c r="G4066" s="5">
        <v>0</v>
      </c>
      <c r="H4066" s="4" t="s">
        <v>11</v>
      </c>
      <c r="I4066" s="5">
        <v>0</v>
      </c>
      <c r="J4066" s="4">
        <v>46050.325636574074</v>
      </c>
    </row>
    <row r="4067" spans="1:10" x14ac:dyDescent="0.2">
      <c r="A4067" s="2" t="s">
        <v>10</v>
      </c>
      <c r="B4067" s="3" t="str">
        <f t="shared" si="76"/>
        <v>INVITATION_VAD_2023</v>
      </c>
      <c r="C4067" s="3" t="str">
        <f>HYPERLINK("https://otsuka-europe-crm.veevavault.com/ui/#object/sent_email__v/VBL000000017058", "SE-001402024")</f>
        <v>SE-001402024</v>
      </c>
      <c r="D4067" s="4" t="s">
        <v>11</v>
      </c>
      <c r="E4067" s="5">
        <v>0</v>
      </c>
      <c r="F4067" s="5">
        <v>0</v>
      </c>
      <c r="G4067" s="5">
        <v>0</v>
      </c>
      <c r="H4067" s="4" t="s">
        <v>11</v>
      </c>
      <c r="I4067" s="5">
        <v>0</v>
      </c>
      <c r="J4067" s="4">
        <v>46050.326886574076</v>
      </c>
    </row>
    <row r="4068" spans="1:10" x14ac:dyDescent="0.2">
      <c r="A4068" s="2" t="s">
        <v>10</v>
      </c>
      <c r="B4068" s="3" t="str">
        <f t="shared" si="76"/>
        <v>INVITATION_VAD_2023</v>
      </c>
      <c r="C4068" s="3" t="str">
        <f>HYPERLINK("https://otsuka-europe-crm.veevavault.com/ui/#object/sent_email__v/VBL000000018059", "SE-001402126")</f>
        <v>SE-001402126</v>
      </c>
      <c r="D4068" s="4">
        <v>46050.857233796298</v>
      </c>
      <c r="E4068" s="5">
        <v>1</v>
      </c>
      <c r="F4068" s="5">
        <v>4</v>
      </c>
      <c r="G4068" s="5">
        <v>0</v>
      </c>
      <c r="H4068" s="4" t="s">
        <v>11</v>
      </c>
      <c r="I4068" s="5">
        <v>0</v>
      </c>
      <c r="J4068" s="4">
        <v>46050.503750000003</v>
      </c>
    </row>
    <row r="4069" spans="1:10" x14ac:dyDescent="0.2">
      <c r="A4069" s="2" t="s">
        <v>10</v>
      </c>
      <c r="B4069" s="3" t="str">
        <f t="shared" si="76"/>
        <v>INVITATION_VAD_2023</v>
      </c>
      <c r="C4069" s="3" t="str">
        <f>HYPERLINK("https://otsuka-europe-crm.veevavault.com/ui/#object/sent_email__v/VBL000000018061", "SE-001402128")</f>
        <v>SE-001402128</v>
      </c>
      <c r="D4069" s="4">
        <v>46051.285196759258</v>
      </c>
      <c r="E4069" s="5">
        <v>1</v>
      </c>
      <c r="F4069" s="5">
        <v>2</v>
      </c>
      <c r="G4069" s="5">
        <v>0</v>
      </c>
      <c r="H4069" s="4" t="s">
        <v>11</v>
      </c>
      <c r="I4069" s="5">
        <v>0</v>
      </c>
      <c r="J4069" s="4">
        <v>46050.50440972222</v>
      </c>
    </row>
    <row r="4070" spans="1:10" x14ac:dyDescent="0.2">
      <c r="A4070" s="2" t="s">
        <v>10</v>
      </c>
      <c r="B4070" s="3" t="str">
        <f t="shared" si="76"/>
        <v>INVITATION_VAD_2023</v>
      </c>
      <c r="C4070" s="3" t="str">
        <f>HYPERLINK("https://otsuka-europe-crm.veevavault.com/ui/#object/sent_email__v/VBL000000018068", "SE-001402138")</f>
        <v>SE-001402138</v>
      </c>
      <c r="D4070" s="4" t="s">
        <v>11</v>
      </c>
      <c r="E4070" s="5">
        <v>0</v>
      </c>
      <c r="F4070" s="5">
        <v>0</v>
      </c>
      <c r="G4070" s="5">
        <v>0</v>
      </c>
      <c r="H4070" s="4" t="s">
        <v>11</v>
      </c>
      <c r="I4070" s="5">
        <v>0</v>
      </c>
      <c r="J4070" s="4">
        <v>46050.532210648147</v>
      </c>
    </row>
    <row r="4071" spans="1:10" x14ac:dyDescent="0.2">
      <c r="A4071" s="2" t="s">
        <v>10</v>
      </c>
      <c r="B4071" s="3" t="str">
        <f t="shared" si="76"/>
        <v>INVITATION_VAD_2023</v>
      </c>
      <c r="C4071" s="3" t="str">
        <f>HYPERLINK("https://otsuka-europe-crm.veevavault.com/ui/#object/sent_email__v/VBL000000017132", "SE-001402168")</f>
        <v>SE-001402168</v>
      </c>
      <c r="D4071" s="4">
        <v>46051.51966435185</v>
      </c>
      <c r="E4071" s="5">
        <v>1</v>
      </c>
      <c r="F4071" s="5">
        <v>2</v>
      </c>
      <c r="G4071" s="5">
        <v>0</v>
      </c>
      <c r="H4071" s="4" t="s">
        <v>11</v>
      </c>
      <c r="I4071" s="5">
        <v>0</v>
      </c>
      <c r="J4071" s="4">
        <v>46051.318726851852</v>
      </c>
    </row>
    <row r="4072" spans="1:10" x14ac:dyDescent="0.2">
      <c r="A4072" s="2" t="s">
        <v>10</v>
      </c>
      <c r="B4072" s="3" t="str">
        <f t="shared" si="76"/>
        <v>INVITATION_VAD_2023</v>
      </c>
      <c r="C4072" s="3" t="str">
        <f>HYPERLINK("https://otsuka-europe-crm.veevavault.com/ui/#object/sent_email__v/VBL000000018088", "SE-001402169")</f>
        <v>SE-001402169</v>
      </c>
      <c r="D4072" s="4" t="s">
        <v>11</v>
      </c>
      <c r="E4072" s="5">
        <v>0</v>
      </c>
      <c r="F4072" s="5">
        <v>0</v>
      </c>
      <c r="G4072" s="5">
        <v>0</v>
      </c>
      <c r="H4072" s="4" t="s">
        <v>11</v>
      </c>
      <c r="I4072" s="5">
        <v>0</v>
      </c>
      <c r="J4072" s="4">
        <v>46051.319895833331</v>
      </c>
    </row>
    <row r="4073" spans="1:10" x14ac:dyDescent="0.2">
      <c r="A4073" s="2" t="s">
        <v>10</v>
      </c>
      <c r="B4073" s="3" t="str">
        <f t="shared" si="76"/>
        <v>INVITATION_VAD_2023</v>
      </c>
      <c r="C4073" s="3" t="str">
        <f>HYPERLINK("https://otsuka-europe-crm.veevavault.com/ui/#object/sent_email__v/VBL000000018095", "SE-001402189")</f>
        <v>SE-001402189</v>
      </c>
      <c r="D4073" s="4">
        <v>46051.584502314814</v>
      </c>
      <c r="E4073" s="5">
        <v>1</v>
      </c>
      <c r="F4073" s="5">
        <v>2</v>
      </c>
      <c r="G4073" s="5">
        <v>0</v>
      </c>
      <c r="H4073" s="4" t="s">
        <v>11</v>
      </c>
      <c r="I4073" s="5">
        <v>0</v>
      </c>
      <c r="J4073" s="4">
        <v>46051.52679398148</v>
      </c>
    </row>
    <row r="4074" spans="1:10" x14ac:dyDescent="0.2">
      <c r="A4074" s="2" t="s">
        <v>10</v>
      </c>
      <c r="B4074" s="3" t="str">
        <f t="shared" si="76"/>
        <v>INVITATION_VAD_2023</v>
      </c>
      <c r="C4074" s="3" t="str">
        <f>HYPERLINK("https://otsuka-europe-crm.veevavault.com/ui/#object/sent_email__v/VBL000000017149", "SE-001402192")</f>
        <v>SE-001402192</v>
      </c>
      <c r="D4074" s="4" t="s">
        <v>11</v>
      </c>
      <c r="E4074" s="5">
        <v>0</v>
      </c>
      <c r="F4074" s="5">
        <v>0</v>
      </c>
      <c r="G4074" s="5">
        <v>0</v>
      </c>
      <c r="H4074" s="4" t="s">
        <v>11</v>
      </c>
      <c r="I4074" s="5">
        <v>0</v>
      </c>
      <c r="J4074" s="4">
        <v>46051.536863425928</v>
      </c>
    </row>
    <row r="4075" spans="1:10" x14ac:dyDescent="0.2">
      <c r="A4075" s="2" t="s">
        <v>10</v>
      </c>
      <c r="B4075" s="3" t="str">
        <f t="shared" si="76"/>
        <v>INVITATION_VAD_2023</v>
      </c>
      <c r="C4075" s="3" t="str">
        <f>HYPERLINK("https://otsuka-europe-crm.veevavault.com/ui/#object/sent_email__v/VBL000000018113", "SE-001402228")</f>
        <v>SE-001402228</v>
      </c>
      <c r="D4075" s="4" t="s">
        <v>11</v>
      </c>
      <c r="E4075" s="5">
        <v>0</v>
      </c>
      <c r="F4075" s="5">
        <v>0</v>
      </c>
      <c r="G4075" s="5">
        <v>0</v>
      </c>
      <c r="H4075" s="4" t="s">
        <v>11</v>
      </c>
      <c r="I4075" s="5">
        <v>0</v>
      </c>
      <c r="J4075" s="4">
        <v>46051.643206018518</v>
      </c>
    </row>
    <row r="4076" spans="1:10" x14ac:dyDescent="0.2">
      <c r="A4076" s="2" t="s">
        <v>10</v>
      </c>
      <c r="B4076" s="3" t="str">
        <f t="shared" si="76"/>
        <v>INVITATION_VAD_2023</v>
      </c>
      <c r="C4076" s="3" t="str">
        <f>HYPERLINK("https://otsuka-europe-crm.veevavault.com/ui/#object/sent_email__v/VBL000000017175", "SE-001402234")</f>
        <v>SE-001402234</v>
      </c>
      <c r="D4076" s="4" t="s">
        <v>11</v>
      </c>
      <c r="E4076" s="5">
        <v>0</v>
      </c>
      <c r="F4076" s="5">
        <v>0</v>
      </c>
      <c r="G4076" s="5">
        <v>0</v>
      </c>
      <c r="H4076" s="4" t="s">
        <v>11</v>
      </c>
      <c r="I4076" s="5">
        <v>0</v>
      </c>
      <c r="J4076" s="4">
        <v>46051.664502314816</v>
      </c>
    </row>
    <row r="4077" spans="1:10" x14ac:dyDescent="0.2">
      <c r="A4077" s="2" t="s">
        <v>10</v>
      </c>
      <c r="B4077" s="3" t="str">
        <f t="shared" si="76"/>
        <v>INVITATION_VAD_2023</v>
      </c>
      <c r="C4077" s="3" t="str">
        <f>HYPERLINK("https://otsuka-europe-crm.veevavault.com/ui/#object/sent_email__v/VBL000000018123", "SE-001402245")</f>
        <v>SE-001402245</v>
      </c>
      <c r="D4077" s="4" t="s">
        <v>11</v>
      </c>
      <c r="E4077" s="5">
        <v>0</v>
      </c>
      <c r="F4077" s="5">
        <v>0</v>
      </c>
      <c r="G4077" s="5">
        <v>0</v>
      </c>
      <c r="H4077" s="4" t="s">
        <v>11</v>
      </c>
      <c r="I4077" s="5">
        <v>0</v>
      </c>
      <c r="J4077" s="4">
        <v>46051.733680555553</v>
      </c>
    </row>
    <row r="4078" spans="1:10" x14ac:dyDescent="0.2">
      <c r="A4078" s="2" t="s">
        <v>10</v>
      </c>
      <c r="B4078" s="3" t="str">
        <f t="shared" si="76"/>
        <v>INVITATION_VAD_2023</v>
      </c>
      <c r="C4078" s="3" t="str">
        <f>HYPERLINK("https://otsuka-europe-crm.veevavault.com/ui/#object/sent_email__v/VBL000000018124", "SE-001402246")</f>
        <v>SE-001402246</v>
      </c>
      <c r="D4078" s="4">
        <v>46052.643993055557</v>
      </c>
      <c r="E4078" s="5">
        <v>1</v>
      </c>
      <c r="F4078" s="5">
        <v>1</v>
      </c>
      <c r="G4078" s="5">
        <v>0</v>
      </c>
      <c r="H4078" s="4" t="s">
        <v>11</v>
      </c>
      <c r="I4078" s="5">
        <v>0</v>
      </c>
      <c r="J4078" s="4">
        <v>46051.733842592592</v>
      </c>
    </row>
    <row r="4079" spans="1:10" x14ac:dyDescent="0.2">
      <c r="A4079" s="2" t="s">
        <v>10</v>
      </c>
      <c r="B4079" s="3" t="str">
        <f t="shared" si="76"/>
        <v>INVITATION_VAD_2023</v>
      </c>
      <c r="C4079" s="3" t="str">
        <f>HYPERLINK("https://otsuka-europe-crm.veevavault.com/ui/#object/sent_email__v/VBL000000018125", "SE-001402247")</f>
        <v>SE-001402247</v>
      </c>
      <c r="D4079" s="4">
        <v>46051.823981481481</v>
      </c>
      <c r="E4079" s="5">
        <v>1</v>
      </c>
      <c r="F4079" s="5">
        <v>1</v>
      </c>
      <c r="G4079" s="5">
        <v>0</v>
      </c>
      <c r="H4079" s="4" t="s">
        <v>11</v>
      </c>
      <c r="I4079" s="5">
        <v>0</v>
      </c>
      <c r="J4079" s="4">
        <v>46051.73400462963</v>
      </c>
    </row>
    <row r="4080" spans="1:10" x14ac:dyDescent="0.2">
      <c r="A4080" s="2" t="s">
        <v>10</v>
      </c>
      <c r="B4080" s="3" t="str">
        <f t="shared" si="76"/>
        <v>INVITATION_VAD_2023</v>
      </c>
      <c r="C4080" s="3" t="str">
        <f>HYPERLINK("https://otsuka-europe-crm.veevavault.com/ui/#object/sent_email__v/VBL000000017177", "SE-001402248")</f>
        <v>SE-001402248</v>
      </c>
      <c r="D4080" s="4">
        <v>46051.736388888887</v>
      </c>
      <c r="E4080" s="5">
        <v>1</v>
      </c>
      <c r="F4080" s="5">
        <v>1</v>
      </c>
      <c r="G4080" s="5">
        <v>0</v>
      </c>
      <c r="H4080" s="4" t="s">
        <v>11</v>
      </c>
      <c r="I4080" s="5">
        <v>0</v>
      </c>
      <c r="J4080" s="4">
        <v>46051.734189814815</v>
      </c>
    </row>
    <row r="4081" spans="1:10" x14ac:dyDescent="0.2">
      <c r="A4081" s="2" t="s">
        <v>10</v>
      </c>
      <c r="B4081" s="3" t="str">
        <f t="shared" si="76"/>
        <v>INVITATION_VAD_2023</v>
      </c>
      <c r="C4081" s="3" t="str">
        <f>HYPERLINK("https://otsuka-europe-crm.veevavault.com/ui/#object/sent_email__v/VBL000000017178", "SE-001402249")</f>
        <v>SE-001402249</v>
      </c>
      <c r="D4081" s="4" t="s">
        <v>11</v>
      </c>
      <c r="E4081" s="5">
        <v>0</v>
      </c>
      <c r="F4081" s="5">
        <v>0</v>
      </c>
      <c r="G4081" s="5">
        <v>0</v>
      </c>
      <c r="H4081" s="4" t="s">
        <v>11</v>
      </c>
      <c r="I4081" s="5">
        <v>0</v>
      </c>
      <c r="J4081" s="4">
        <v>46051.734456018516</v>
      </c>
    </row>
    <row r="4082" spans="1:10" x14ac:dyDescent="0.2">
      <c r="A4082" s="2" t="s">
        <v>10</v>
      </c>
      <c r="B4082" s="3" t="str">
        <f t="shared" si="76"/>
        <v>INVITATION_VAD_2023</v>
      </c>
      <c r="C4082" s="3" t="str">
        <f>HYPERLINK("https://otsuka-europe-crm.veevavault.com/ui/#object/sent_email__v/VBL000000019001", "SE-001402250")</f>
        <v>SE-001402250</v>
      </c>
      <c r="D4082" s="4" t="s">
        <v>11</v>
      </c>
      <c r="E4082" s="5">
        <v>0</v>
      </c>
      <c r="F4082" s="5">
        <v>0</v>
      </c>
      <c r="G4082" s="5">
        <v>0</v>
      </c>
      <c r="H4082" s="4" t="s">
        <v>11</v>
      </c>
      <c r="I4082" s="5">
        <v>0</v>
      </c>
      <c r="J4082" s="4">
        <v>46051.76935185185</v>
      </c>
    </row>
    <row r="4083" spans="1:10" x14ac:dyDescent="0.2">
      <c r="A4083" s="2" t="s">
        <v>10</v>
      </c>
      <c r="B4083" s="3" t="str">
        <f t="shared" si="76"/>
        <v>INVITATION_VAD_2023</v>
      </c>
      <c r="C4083" s="3" t="str">
        <f>HYPERLINK("https://otsuka-europe-crm.veevavault.com/ui/#object/sent_email__v/VBL000000019003", "SE-001402252")</f>
        <v>SE-001402252</v>
      </c>
      <c r="D4083" s="4" t="s">
        <v>11</v>
      </c>
      <c r="E4083" s="5">
        <v>0</v>
      </c>
      <c r="F4083" s="5">
        <v>0</v>
      </c>
      <c r="G4083" s="5">
        <v>0</v>
      </c>
      <c r="H4083" s="4" t="s">
        <v>11</v>
      </c>
      <c r="I4083" s="5">
        <v>0</v>
      </c>
      <c r="J4083" s="4">
        <v>46052.283495370371</v>
      </c>
    </row>
    <row r="4084" spans="1:10" x14ac:dyDescent="0.2">
      <c r="A4084" s="2" t="s">
        <v>10</v>
      </c>
      <c r="B4084" s="3" t="str">
        <f t="shared" si="76"/>
        <v>INVITATION_VAD_2023</v>
      </c>
      <c r="C4084" s="3" t="str">
        <f>HYPERLINK("https://otsuka-europe-crm.veevavault.com/ui/#object/sent_email__v/VBL000000019004", "SE-001402253")</f>
        <v>SE-001402253</v>
      </c>
      <c r="D4084" s="4">
        <v>46052.643333333333</v>
      </c>
      <c r="E4084" s="5">
        <v>1</v>
      </c>
      <c r="F4084" s="5">
        <v>2</v>
      </c>
      <c r="G4084" s="5">
        <v>0</v>
      </c>
      <c r="H4084" s="4" t="s">
        <v>11</v>
      </c>
      <c r="I4084" s="5">
        <v>0</v>
      </c>
      <c r="J4084" s="4">
        <v>46052.283553240741</v>
      </c>
    </row>
    <row r="4085" spans="1:10" x14ac:dyDescent="0.2">
      <c r="A4085" s="2" t="s">
        <v>10</v>
      </c>
      <c r="B4085" s="3" t="str">
        <f t="shared" si="76"/>
        <v>INVITATION_VAD_2023</v>
      </c>
      <c r="C4085" s="3" t="str">
        <f>HYPERLINK("https://otsuka-europe-crm.veevavault.com/ui/#object/sent_email__v/VBL00000001A001", "SE-001402254")</f>
        <v>SE-001402254</v>
      </c>
      <c r="D4085" s="4">
        <v>46052.580185185187</v>
      </c>
      <c r="E4085" s="5">
        <v>1</v>
      </c>
      <c r="F4085" s="5">
        <v>5</v>
      </c>
      <c r="G4085" s="5">
        <v>0</v>
      </c>
      <c r="H4085" s="4" t="s">
        <v>11</v>
      </c>
      <c r="I4085" s="5">
        <v>0</v>
      </c>
      <c r="J4085" s="4">
        <v>46052.283726851849</v>
      </c>
    </row>
    <row r="4086" spans="1:10" x14ac:dyDescent="0.2">
      <c r="A4086" s="2" t="s">
        <v>10</v>
      </c>
      <c r="B4086" s="3" t="str">
        <f t="shared" si="76"/>
        <v>INVITATION_VAD_2023</v>
      </c>
      <c r="C4086" s="3" t="str">
        <f>HYPERLINK("https://otsuka-europe-crm.veevavault.com/ui/#object/sent_email__v/VBL00000001A002", "SE-001402255")</f>
        <v>SE-001402255</v>
      </c>
      <c r="D4086" s="4">
        <v>46052.588090277779</v>
      </c>
      <c r="E4086" s="5">
        <v>1</v>
      </c>
      <c r="F4086" s="5">
        <v>5</v>
      </c>
      <c r="G4086" s="5">
        <v>0</v>
      </c>
      <c r="H4086" s="4" t="s">
        <v>11</v>
      </c>
      <c r="I4086" s="5">
        <v>0</v>
      </c>
      <c r="J4086" s="4">
        <v>46052.283877314818</v>
      </c>
    </row>
    <row r="4087" spans="1:10" x14ac:dyDescent="0.2">
      <c r="A4087" s="2" t="s">
        <v>10</v>
      </c>
      <c r="B4087" s="3" t="str">
        <f t="shared" si="76"/>
        <v>INVITATION_VAD_2023</v>
      </c>
      <c r="C4087" s="3" t="str">
        <f>HYPERLINK("https://otsuka-europe-crm.veevavault.com/ui/#object/sent_email__v/VBL000000019005", "SE-001402256")</f>
        <v>SE-001402256</v>
      </c>
      <c r="D4087" s="4">
        <v>46064.645092592589</v>
      </c>
      <c r="E4087" s="5">
        <v>1</v>
      </c>
      <c r="F4087" s="5">
        <v>5</v>
      </c>
      <c r="G4087" s="5">
        <v>0</v>
      </c>
      <c r="H4087" s="4" t="s">
        <v>11</v>
      </c>
      <c r="I4087" s="5">
        <v>0</v>
      </c>
      <c r="J4087" s="4">
        <v>46052.284178240741</v>
      </c>
    </row>
    <row r="4088" spans="1:10" x14ac:dyDescent="0.2">
      <c r="A4088" s="2" t="s">
        <v>10</v>
      </c>
      <c r="B4088" s="3" t="str">
        <f t="shared" si="76"/>
        <v>INVITATION_VAD_2023</v>
      </c>
      <c r="C4088" s="3" t="str">
        <f>HYPERLINK("https://otsuka-europe-crm.veevavault.com/ui/#object/sent_email__v/VBL000000019006", "SE-001402257")</f>
        <v>SE-001402257</v>
      </c>
      <c r="D4088" s="4" t="s">
        <v>11</v>
      </c>
      <c r="E4088" s="5">
        <v>0</v>
      </c>
      <c r="F4088" s="5">
        <v>0</v>
      </c>
      <c r="G4088" s="5">
        <v>0</v>
      </c>
      <c r="H4088" s="4" t="s">
        <v>11</v>
      </c>
      <c r="I4088" s="5">
        <v>0</v>
      </c>
      <c r="J4088" s="4">
        <v>46052.321550925924</v>
      </c>
    </row>
    <row r="4089" spans="1:10" x14ac:dyDescent="0.2">
      <c r="A4089" s="2" t="s">
        <v>10</v>
      </c>
      <c r="B4089" s="3" t="str">
        <f t="shared" si="76"/>
        <v>INVITATION_VAD_2023</v>
      </c>
      <c r="C4089" s="3" t="str">
        <f>HYPERLINK("https://otsuka-europe-crm.veevavault.com/ui/#object/sent_email__v/VBL000000019020", "SE-001402277")</f>
        <v>SE-001402277</v>
      </c>
      <c r="D4089" s="4">
        <v>46052.37059027778</v>
      </c>
      <c r="E4089" s="5">
        <v>1</v>
      </c>
      <c r="F4089" s="5">
        <v>1</v>
      </c>
      <c r="G4089" s="5">
        <v>0</v>
      </c>
      <c r="H4089" s="4" t="s">
        <v>11</v>
      </c>
      <c r="I4089" s="5">
        <v>0</v>
      </c>
      <c r="J4089" s="4">
        <v>46052.370509259257</v>
      </c>
    </row>
    <row r="4090" spans="1:10" x14ac:dyDescent="0.2">
      <c r="A4090" s="2" t="s">
        <v>10</v>
      </c>
      <c r="B4090" s="3" t="str">
        <f t="shared" si="76"/>
        <v>INVITATION_VAD_2023</v>
      </c>
      <c r="C4090" s="3" t="str">
        <f>HYPERLINK("https://otsuka-europe-crm.veevavault.com/ui/#object/sent_email__v/VBL000000019021", "SE-001402282")</f>
        <v>SE-001402282</v>
      </c>
      <c r="D4090" s="4">
        <v>46052.417407407411</v>
      </c>
      <c r="E4090" s="5">
        <v>1</v>
      </c>
      <c r="F4090" s="5">
        <v>3</v>
      </c>
      <c r="G4090" s="5">
        <v>0</v>
      </c>
      <c r="H4090" s="4" t="s">
        <v>11</v>
      </c>
      <c r="I4090" s="5">
        <v>0</v>
      </c>
      <c r="J4090" s="4">
        <v>46052.408460648148</v>
      </c>
    </row>
    <row r="4091" spans="1:10" x14ac:dyDescent="0.2">
      <c r="A4091" s="2" t="s">
        <v>10</v>
      </c>
      <c r="B4091" s="3" t="str">
        <f t="shared" si="76"/>
        <v>INVITATION_VAD_2023</v>
      </c>
      <c r="C4091" s="3" t="str">
        <f>HYPERLINK("https://otsuka-europe-crm.veevavault.com/ui/#object/sent_email__v/VBL000000019028", "SE-001402298")</f>
        <v>SE-001402298</v>
      </c>
      <c r="D4091" s="4">
        <v>46052.643333333333</v>
      </c>
      <c r="E4091" s="5">
        <v>1</v>
      </c>
      <c r="F4091" s="5">
        <v>2</v>
      </c>
      <c r="G4091" s="5">
        <v>0</v>
      </c>
      <c r="H4091" s="4" t="s">
        <v>11</v>
      </c>
      <c r="I4091" s="5">
        <v>0</v>
      </c>
      <c r="J4091" s="4">
        <v>46052.446944444448</v>
      </c>
    </row>
    <row r="4092" spans="1:10" x14ac:dyDescent="0.2">
      <c r="A4092" s="2" t="s">
        <v>10</v>
      </c>
      <c r="B4092" s="3" t="str">
        <f t="shared" si="76"/>
        <v>INVITATION_VAD_2023</v>
      </c>
      <c r="C4092" s="3" t="str">
        <f>HYPERLINK("https://otsuka-europe-crm.veevavault.com/ui/#object/sent_email__v/VBL000000019030", "SE-001402300")</f>
        <v>SE-001402300</v>
      </c>
      <c r="D4092" s="4">
        <v>46056.721041666664</v>
      </c>
      <c r="E4092" s="5">
        <v>1</v>
      </c>
      <c r="F4092" s="5">
        <v>23</v>
      </c>
      <c r="G4092" s="5">
        <v>0</v>
      </c>
      <c r="H4092" s="4" t="s">
        <v>11</v>
      </c>
      <c r="I4092" s="5">
        <v>0</v>
      </c>
      <c r="J4092" s="4">
        <v>46052.476793981485</v>
      </c>
    </row>
    <row r="4093" spans="1:10" x14ac:dyDescent="0.2">
      <c r="A4093" s="2" t="s">
        <v>10</v>
      </c>
      <c r="B4093" s="3" t="str">
        <f t="shared" si="76"/>
        <v>INVITATION_VAD_2023</v>
      </c>
      <c r="C4093" s="3" t="str">
        <f>HYPERLINK("https://otsuka-europe-crm.veevavault.com/ui/#object/sent_email__v/VBL000000019031", "SE-001402301")</f>
        <v>SE-001402301</v>
      </c>
      <c r="D4093" s="4" t="s">
        <v>11</v>
      </c>
      <c r="E4093" s="5">
        <v>0</v>
      </c>
      <c r="F4093" s="5">
        <v>0</v>
      </c>
      <c r="G4093" s="5">
        <v>0</v>
      </c>
      <c r="H4093" s="4" t="s">
        <v>11</v>
      </c>
      <c r="I4093" s="5">
        <v>0</v>
      </c>
      <c r="J4093" s="4">
        <v>46052.476956018516</v>
      </c>
    </row>
    <row r="4094" spans="1:10" x14ac:dyDescent="0.2">
      <c r="A4094" s="2" t="s">
        <v>10</v>
      </c>
      <c r="B4094" s="3" t="str">
        <f t="shared" si="76"/>
        <v>INVITATION_VAD_2023</v>
      </c>
      <c r="C4094" s="3" t="str">
        <f>HYPERLINK("https://otsuka-europe-crm.veevavault.com/ui/#object/sent_email__v/VBL000000019032", "SE-001402302")</f>
        <v>SE-001402302</v>
      </c>
      <c r="D4094" s="4">
        <v>46064.645092592589</v>
      </c>
      <c r="E4094" s="5">
        <v>1</v>
      </c>
      <c r="F4094" s="5">
        <v>3</v>
      </c>
      <c r="G4094" s="5">
        <v>0</v>
      </c>
      <c r="H4094" s="4" t="s">
        <v>11</v>
      </c>
      <c r="I4094" s="5">
        <v>0</v>
      </c>
      <c r="J4094" s="4">
        <v>46052.477187500001</v>
      </c>
    </row>
    <row r="4095" spans="1:10" x14ac:dyDescent="0.2">
      <c r="A4095" s="2" t="s">
        <v>10</v>
      </c>
      <c r="B4095" s="3" t="str">
        <f t="shared" si="76"/>
        <v>INVITATION_VAD_2023</v>
      </c>
      <c r="C4095" s="3" t="str">
        <f>HYPERLINK("https://otsuka-europe-crm.veevavault.com/ui/#object/sent_email__v/VBL000000019033", "SE-001402303")</f>
        <v>SE-001402303</v>
      </c>
      <c r="D4095" s="4" t="s">
        <v>11</v>
      </c>
      <c r="E4095" s="5">
        <v>0</v>
      </c>
      <c r="F4095" s="5">
        <v>0</v>
      </c>
      <c r="G4095" s="5">
        <v>0</v>
      </c>
      <c r="H4095" s="4" t="s">
        <v>11</v>
      </c>
      <c r="I4095" s="5">
        <v>0</v>
      </c>
      <c r="J4095" s="4">
        <v>46052.480081018519</v>
      </c>
    </row>
    <row r="4096" spans="1:10" x14ac:dyDescent="0.2">
      <c r="A4096" s="2" t="s">
        <v>10</v>
      </c>
      <c r="B4096" s="3" t="str">
        <f t="shared" si="76"/>
        <v>INVITATION_VAD_2023</v>
      </c>
      <c r="C4096" s="3" t="str">
        <f>HYPERLINK("https://otsuka-europe-crm.veevavault.com/ui/#object/sent_email__v/VBL000000019037", "SE-001402313")</f>
        <v>SE-001402313</v>
      </c>
      <c r="D4096" s="4" t="s">
        <v>11</v>
      </c>
      <c r="E4096" s="5">
        <v>0</v>
      </c>
      <c r="F4096" s="5">
        <v>0</v>
      </c>
      <c r="G4096" s="5">
        <v>0</v>
      </c>
      <c r="H4096" s="4" t="s">
        <v>11</v>
      </c>
      <c r="I4096" s="5">
        <v>0</v>
      </c>
      <c r="J4096" s="4">
        <v>46052.554155092592</v>
      </c>
    </row>
    <row r="4097" spans="1:10" x14ac:dyDescent="0.2">
      <c r="A4097" s="2" t="s">
        <v>10</v>
      </c>
      <c r="B4097" s="3" t="str">
        <f t="shared" si="76"/>
        <v>INVITATION_VAD_2023</v>
      </c>
      <c r="C4097" s="3" t="str">
        <f>HYPERLINK("https://otsuka-europe-crm.veevavault.com/ui/#object/sent_email__v/VBL000000019038", "SE-001402314")</f>
        <v>SE-001402314</v>
      </c>
      <c r="D4097" s="4" t="s">
        <v>11</v>
      </c>
      <c r="E4097" s="5">
        <v>0</v>
      </c>
      <c r="F4097" s="5">
        <v>0</v>
      </c>
      <c r="G4097" s="5">
        <v>0</v>
      </c>
      <c r="H4097" s="4" t="s">
        <v>11</v>
      </c>
      <c r="I4097" s="5">
        <v>0</v>
      </c>
      <c r="J4097" s="4">
        <v>46052.554861111108</v>
      </c>
    </row>
    <row r="4098" spans="1:10" x14ac:dyDescent="0.2">
      <c r="A4098" s="2" t="s">
        <v>10</v>
      </c>
      <c r="B4098" s="3" t="str">
        <f t="shared" si="76"/>
        <v>INVITATION_VAD_2023</v>
      </c>
      <c r="C4098" s="3" t="str">
        <f>HYPERLINK("https://otsuka-europe-crm.veevavault.com/ui/#object/sent_email__v/VBL000000019039", "SE-001402315")</f>
        <v>SE-001402315</v>
      </c>
      <c r="D4098" s="4" t="s">
        <v>11</v>
      </c>
      <c r="E4098" s="5">
        <v>0</v>
      </c>
      <c r="F4098" s="5">
        <v>0</v>
      </c>
      <c r="G4098" s="5">
        <v>0</v>
      </c>
      <c r="H4098" s="4" t="s">
        <v>11</v>
      </c>
      <c r="I4098" s="5">
        <v>0</v>
      </c>
      <c r="J4098" s="4">
        <v>46052.559803240743</v>
      </c>
    </row>
    <row r="4099" spans="1:10" x14ac:dyDescent="0.2">
      <c r="A4099" s="2" t="s">
        <v>10</v>
      </c>
      <c r="B4099" s="3" t="str">
        <f t="shared" si="76"/>
        <v>INVITATION_VAD_2023</v>
      </c>
      <c r="C4099" s="3" t="str">
        <f>HYPERLINK("https://otsuka-europe-crm.veevavault.com/ui/#object/sent_email__v/VBL000000019040", "SE-001402316")</f>
        <v>SE-001402316</v>
      </c>
      <c r="D4099" s="4" t="s">
        <v>11</v>
      </c>
      <c r="E4099" s="5">
        <v>0</v>
      </c>
      <c r="F4099" s="5">
        <v>0</v>
      </c>
      <c r="G4099" s="5">
        <v>0</v>
      </c>
      <c r="H4099" s="4" t="s">
        <v>11</v>
      </c>
      <c r="I4099" s="5">
        <v>0</v>
      </c>
      <c r="J4099" s="4">
        <v>46052.560474537036</v>
      </c>
    </row>
    <row r="4100" spans="1:10" x14ac:dyDescent="0.2">
      <c r="A4100" s="2" t="s">
        <v>10</v>
      </c>
      <c r="B4100" s="3" t="str">
        <f t="shared" si="76"/>
        <v>INVITATION_VAD_2023</v>
      </c>
      <c r="C4100" s="3" t="str">
        <f>HYPERLINK("https://otsuka-europe-crm.veevavault.com/ui/#object/sent_email__v/VBL000000019041", "SE-001402317")</f>
        <v>SE-001402317</v>
      </c>
      <c r="D4100" s="4">
        <v>46053.418715277781</v>
      </c>
      <c r="E4100" s="5">
        <v>1</v>
      </c>
      <c r="F4100" s="5">
        <v>3</v>
      </c>
      <c r="G4100" s="5">
        <v>0</v>
      </c>
      <c r="H4100" s="4" t="s">
        <v>11</v>
      </c>
      <c r="I4100" s="5">
        <v>0</v>
      </c>
      <c r="J4100" s="4">
        <v>46052.565509259257</v>
      </c>
    </row>
    <row r="4101" spans="1:10" x14ac:dyDescent="0.2">
      <c r="A4101" s="2" t="s">
        <v>10</v>
      </c>
      <c r="B4101" s="3" t="str">
        <f t="shared" si="76"/>
        <v>INVITATION_VAD_2023</v>
      </c>
      <c r="C4101" s="3" t="str">
        <f>HYPERLINK("https://otsuka-europe-crm.veevavault.com/ui/#object/sent_email__v/VBL000000019054", "SE-001402341")</f>
        <v>SE-001402341</v>
      </c>
      <c r="D4101" s="4">
        <v>46070.607800925929</v>
      </c>
      <c r="E4101" s="5">
        <v>1</v>
      </c>
      <c r="F4101" s="5">
        <v>6</v>
      </c>
      <c r="G4101" s="5">
        <v>0</v>
      </c>
      <c r="H4101" s="4" t="s">
        <v>11</v>
      </c>
      <c r="I4101" s="5">
        <v>0</v>
      </c>
      <c r="J4101" s="4">
        <v>46055.343784722223</v>
      </c>
    </row>
    <row r="4102" spans="1:10" x14ac:dyDescent="0.2">
      <c r="A4102" s="2" t="s">
        <v>10</v>
      </c>
      <c r="B4102" s="3" t="str">
        <f t="shared" si="76"/>
        <v>INVITATION_VAD_2023</v>
      </c>
      <c r="C4102" s="3" t="str">
        <f>HYPERLINK("https://otsuka-europe-crm.veevavault.com/ui/#object/sent_email__v/VBL000000019055", "SE-001402342")</f>
        <v>SE-001402342</v>
      </c>
      <c r="D4102" s="4" t="s">
        <v>11</v>
      </c>
      <c r="E4102" s="5">
        <v>0</v>
      </c>
      <c r="F4102" s="5">
        <v>0</v>
      </c>
      <c r="G4102" s="5">
        <v>0</v>
      </c>
      <c r="H4102" s="4" t="s">
        <v>11</v>
      </c>
      <c r="I4102" s="5">
        <v>0</v>
      </c>
      <c r="J4102" s="4">
        <v>46055.347592592596</v>
      </c>
    </row>
    <row r="4103" spans="1:10" x14ac:dyDescent="0.2">
      <c r="A4103" s="2" t="s">
        <v>10</v>
      </c>
      <c r="B4103" s="3" t="str">
        <f t="shared" si="76"/>
        <v>INVITATION_VAD_2023</v>
      </c>
      <c r="C4103" s="3" t="str">
        <f>HYPERLINK("https://otsuka-europe-crm.veevavault.com/ui/#object/sent_email__v/VBL000000019087", "SE-001402389")</f>
        <v>SE-001402389</v>
      </c>
      <c r="D4103" s="4" t="s">
        <v>11</v>
      </c>
      <c r="E4103" s="5">
        <v>0</v>
      </c>
      <c r="F4103" s="5">
        <v>0</v>
      </c>
      <c r="G4103" s="5">
        <v>0</v>
      </c>
      <c r="H4103" s="4" t="s">
        <v>11</v>
      </c>
      <c r="I4103" s="5">
        <v>0</v>
      </c>
      <c r="J4103" s="4">
        <v>46055.691550925927</v>
      </c>
    </row>
    <row r="4104" spans="1:10" x14ac:dyDescent="0.2">
      <c r="A4104" s="2" t="s">
        <v>10</v>
      </c>
      <c r="B4104" s="3" t="str">
        <f t="shared" si="76"/>
        <v>INVITATION_VAD_2023</v>
      </c>
      <c r="C4104" s="3" t="str">
        <f>HYPERLINK("https://otsuka-europe-crm.veevavault.com/ui/#object/sent_email__v/VBL00000001A078", "SE-001402554")</f>
        <v>SE-001402554</v>
      </c>
      <c r="D4104" s="4" t="s">
        <v>11</v>
      </c>
      <c r="E4104" s="5">
        <v>0</v>
      </c>
      <c r="F4104" s="5">
        <v>0</v>
      </c>
      <c r="G4104" s="5">
        <v>0</v>
      </c>
      <c r="H4104" s="4" t="s">
        <v>11</v>
      </c>
      <c r="I4104" s="5">
        <v>0</v>
      </c>
      <c r="J4104" s="4">
        <v>46056.372291666667</v>
      </c>
    </row>
    <row r="4105" spans="1:10" x14ac:dyDescent="0.2">
      <c r="A4105" s="2" t="s">
        <v>10</v>
      </c>
      <c r="B4105" s="3" t="str">
        <f t="shared" si="76"/>
        <v>INVITATION_VAD_2023</v>
      </c>
      <c r="C4105" s="3" t="str">
        <f>HYPERLINK("https://otsuka-europe-crm.veevavault.com/ui/#object/sent_email__v/VBL000000019238", "SE-001402555")</f>
        <v>SE-001402555</v>
      </c>
      <c r="D4105" s="4">
        <v>46057.42119212963</v>
      </c>
      <c r="E4105" s="5">
        <v>1</v>
      </c>
      <c r="F4105" s="5">
        <v>2</v>
      </c>
      <c r="G4105" s="5">
        <v>0</v>
      </c>
      <c r="H4105" s="4" t="s">
        <v>11</v>
      </c>
      <c r="I4105" s="5">
        <v>0</v>
      </c>
      <c r="J4105" s="4">
        <v>46056.372465277775</v>
      </c>
    </row>
    <row r="4106" spans="1:10" x14ac:dyDescent="0.2">
      <c r="A4106" s="2" t="s">
        <v>10</v>
      </c>
      <c r="B4106" s="3" t="str">
        <f t="shared" si="76"/>
        <v>INVITATION_VAD_2023</v>
      </c>
      <c r="C4106" s="3" t="str">
        <f>HYPERLINK("https://otsuka-europe-crm.veevavault.com/ui/#object/sent_email__v/VBL00000001A079", "SE-001402556")</f>
        <v>SE-001402556</v>
      </c>
      <c r="D4106" s="4" t="s">
        <v>11</v>
      </c>
      <c r="E4106" s="5">
        <v>0</v>
      </c>
      <c r="F4106" s="5">
        <v>0</v>
      </c>
      <c r="G4106" s="5">
        <v>0</v>
      </c>
      <c r="H4106" s="4" t="s">
        <v>11</v>
      </c>
      <c r="I4106" s="5">
        <v>0</v>
      </c>
      <c r="J4106" s="4">
        <v>46056.372893518521</v>
      </c>
    </row>
    <row r="4107" spans="1:10" x14ac:dyDescent="0.2">
      <c r="A4107" s="2" t="s">
        <v>10</v>
      </c>
      <c r="B4107" s="3" t="str">
        <f t="shared" si="76"/>
        <v>INVITATION_VAD_2023</v>
      </c>
      <c r="C4107" s="3" t="str">
        <f>HYPERLINK("https://otsuka-europe-crm.veevavault.com/ui/#object/sent_email__v/VBL00000001A080", "SE-001402557")</f>
        <v>SE-001402557</v>
      </c>
      <c r="D4107" s="4" t="s">
        <v>11</v>
      </c>
      <c r="E4107" s="5">
        <v>0</v>
      </c>
      <c r="F4107" s="5">
        <v>0</v>
      </c>
      <c r="G4107" s="5">
        <v>0</v>
      </c>
      <c r="H4107" s="4" t="s">
        <v>11</v>
      </c>
      <c r="I4107" s="5">
        <v>0</v>
      </c>
      <c r="J4107" s="4">
        <v>46056.37300925926</v>
      </c>
    </row>
    <row r="4108" spans="1:10" x14ac:dyDescent="0.2">
      <c r="A4108" s="2" t="s">
        <v>10</v>
      </c>
      <c r="B4108" s="3" t="str">
        <f t="shared" si="76"/>
        <v>INVITATION_VAD_2023</v>
      </c>
      <c r="C4108" s="3" t="str">
        <f>HYPERLINK("https://otsuka-europe-crm.veevavault.com/ui/#object/sent_email__v/VBL00000001A096", "SE-001402581")</f>
        <v>SE-001402581</v>
      </c>
      <c r="D4108" s="4" t="s">
        <v>11</v>
      </c>
      <c r="E4108" s="5">
        <v>0</v>
      </c>
      <c r="F4108" s="5">
        <v>0</v>
      </c>
      <c r="G4108" s="5">
        <v>0</v>
      </c>
      <c r="H4108" s="4" t="s">
        <v>11</v>
      </c>
      <c r="I4108" s="5">
        <v>0</v>
      </c>
      <c r="J4108" s="4">
        <v>46056.460243055553</v>
      </c>
    </row>
    <row r="4109" spans="1:10" x14ac:dyDescent="0.2">
      <c r="A4109" s="2" t="s">
        <v>10</v>
      </c>
      <c r="B4109" s="3" t="str">
        <f t="shared" si="76"/>
        <v>INVITATION_VAD_2023</v>
      </c>
      <c r="C4109" s="3" t="str">
        <f>HYPERLINK("https://otsuka-europe-crm.veevavault.com/ui/#object/sent_email__v/VBL000000019265", "SE-001402615")</f>
        <v>SE-001402615</v>
      </c>
      <c r="D4109" s="4" t="s">
        <v>11</v>
      </c>
      <c r="E4109" s="5">
        <v>0</v>
      </c>
      <c r="F4109" s="5">
        <v>0</v>
      </c>
      <c r="G4109" s="5">
        <v>0</v>
      </c>
      <c r="H4109" s="4" t="s">
        <v>11</v>
      </c>
      <c r="I4109" s="5">
        <v>0</v>
      </c>
      <c r="J4109" s="4">
        <v>46057.300046296295</v>
      </c>
    </row>
    <row r="4110" spans="1:10" x14ac:dyDescent="0.2">
      <c r="A4110" s="2" t="s">
        <v>10</v>
      </c>
      <c r="B4110" s="3" t="str">
        <f t="shared" si="76"/>
        <v>INVITATION_VAD_2023</v>
      </c>
      <c r="C4110" s="3" t="str">
        <f>HYPERLINK("https://otsuka-europe-crm.veevavault.com/ui/#object/sent_email__v/VBL000000019266", "SE-001402616")</f>
        <v>SE-001402616</v>
      </c>
      <c r="D4110" s="4" t="s">
        <v>11</v>
      </c>
      <c r="E4110" s="5">
        <v>0</v>
      </c>
      <c r="F4110" s="5">
        <v>0</v>
      </c>
      <c r="G4110" s="5">
        <v>0</v>
      </c>
      <c r="H4110" s="4" t="s">
        <v>11</v>
      </c>
      <c r="I4110" s="5">
        <v>0</v>
      </c>
      <c r="J4110" s="4">
        <v>46057.30027777778</v>
      </c>
    </row>
    <row r="4111" spans="1:10" x14ac:dyDescent="0.2">
      <c r="A4111" s="2" t="s">
        <v>10</v>
      </c>
      <c r="B4111" s="3" t="str">
        <f t="shared" si="76"/>
        <v>INVITATION_VAD_2023</v>
      </c>
      <c r="C4111" s="3" t="str">
        <f>HYPERLINK("https://otsuka-europe-crm.veevavault.com/ui/#object/sent_email__v/VBL00000001A117", "SE-001402617")</f>
        <v>SE-001402617</v>
      </c>
      <c r="D4111" s="4">
        <v>46064.642812500002</v>
      </c>
      <c r="E4111" s="5">
        <v>1</v>
      </c>
      <c r="F4111" s="5">
        <v>11</v>
      </c>
      <c r="G4111" s="5">
        <v>0</v>
      </c>
      <c r="H4111" s="4" t="s">
        <v>11</v>
      </c>
      <c r="I4111" s="5">
        <v>0</v>
      </c>
      <c r="J4111" s="4">
        <v>46057.300578703704</v>
      </c>
    </row>
    <row r="4112" spans="1:10" x14ac:dyDescent="0.2">
      <c r="A4112" s="2" t="s">
        <v>10</v>
      </c>
      <c r="B4112" s="3" t="str">
        <f t="shared" si="76"/>
        <v>INVITATION_VAD_2023</v>
      </c>
      <c r="C4112" s="3" t="str">
        <f>HYPERLINK("https://otsuka-europe-crm.veevavault.com/ui/#object/sent_email__v/VBL00000001A118", "SE-001402618")</f>
        <v>SE-001402618</v>
      </c>
      <c r="D4112" s="4" t="s">
        <v>11</v>
      </c>
      <c r="E4112" s="5">
        <v>0</v>
      </c>
      <c r="F4112" s="5">
        <v>0</v>
      </c>
      <c r="G4112" s="5">
        <v>0</v>
      </c>
      <c r="H4112" s="4" t="s">
        <v>11</v>
      </c>
      <c r="I4112" s="5">
        <v>0</v>
      </c>
      <c r="J4112" s="4">
        <v>46057.300879629627</v>
      </c>
    </row>
    <row r="4113" spans="1:10" x14ac:dyDescent="0.2">
      <c r="A4113" s="2" t="s">
        <v>10</v>
      </c>
      <c r="B4113" s="3" t="str">
        <f t="shared" si="76"/>
        <v>INVITATION_VAD_2023</v>
      </c>
      <c r="C4113" s="3" t="str">
        <f>HYPERLINK("https://otsuka-europe-crm.veevavault.com/ui/#object/sent_email__v/VBL00000001A119", "SE-001402619")</f>
        <v>SE-001402619</v>
      </c>
      <c r="D4113" s="4">
        <v>46057.516516203701</v>
      </c>
      <c r="E4113" s="5">
        <v>1</v>
      </c>
      <c r="F4113" s="5">
        <v>1</v>
      </c>
      <c r="G4113" s="5">
        <v>0</v>
      </c>
      <c r="H4113" s="4" t="s">
        <v>11</v>
      </c>
      <c r="I4113" s="5">
        <v>0</v>
      </c>
      <c r="J4113" s="4">
        <v>46057.301377314812</v>
      </c>
    </row>
    <row r="4114" spans="1:10" x14ac:dyDescent="0.2">
      <c r="A4114" s="2" t="s">
        <v>10</v>
      </c>
      <c r="B4114" s="3" t="str">
        <f t="shared" si="76"/>
        <v>INVITATION_VAD_2023</v>
      </c>
      <c r="C4114" s="3" t="str">
        <f>HYPERLINK("https://otsuka-europe-crm.veevavault.com/ui/#object/sent_email__v/VBL00000001A122", "SE-001402624")</f>
        <v>SE-001402624</v>
      </c>
      <c r="D4114" s="4" t="s">
        <v>11</v>
      </c>
      <c r="E4114" s="5">
        <v>0</v>
      </c>
      <c r="F4114" s="5">
        <v>0</v>
      </c>
      <c r="G4114" s="5">
        <v>0</v>
      </c>
      <c r="H4114" s="4" t="s">
        <v>11</v>
      </c>
      <c r="I4114" s="5">
        <v>0</v>
      </c>
      <c r="J4114" s="4">
        <v>46057.343402777777</v>
      </c>
    </row>
    <row r="4115" spans="1:10" x14ac:dyDescent="0.2">
      <c r="A4115" s="2" t="s">
        <v>10</v>
      </c>
      <c r="B4115" s="3" t="str">
        <f t="shared" si="76"/>
        <v>INVITATION_VAD_2023</v>
      </c>
      <c r="C4115" s="3" t="str">
        <f>HYPERLINK("https://otsuka-europe-crm.veevavault.com/ui/#object/sent_email__v/VBL000000019269", "SE-001402627")</f>
        <v>SE-001402627</v>
      </c>
      <c r="D4115" s="4">
        <v>46057.388356481482</v>
      </c>
      <c r="E4115" s="5">
        <v>1</v>
      </c>
      <c r="F4115" s="5">
        <v>2</v>
      </c>
      <c r="G4115" s="5">
        <v>0</v>
      </c>
      <c r="H4115" s="4" t="s">
        <v>11</v>
      </c>
      <c r="I4115" s="5">
        <v>0</v>
      </c>
      <c r="J4115" s="4">
        <v>46057.373877314814</v>
      </c>
    </row>
    <row r="4116" spans="1:10" x14ac:dyDescent="0.2">
      <c r="A4116" s="2" t="s">
        <v>10</v>
      </c>
      <c r="B4116" s="3" t="str">
        <f t="shared" si="76"/>
        <v>INVITATION_VAD_2023</v>
      </c>
      <c r="C4116" s="3" t="str">
        <f>HYPERLINK("https://otsuka-europe-crm.veevavault.com/ui/#object/sent_email__v/VBL000000019278", "SE-001402644")</f>
        <v>SE-001402644</v>
      </c>
      <c r="D4116" s="4">
        <v>46064.642812500002</v>
      </c>
      <c r="E4116" s="5">
        <v>1</v>
      </c>
      <c r="F4116" s="5">
        <v>9</v>
      </c>
      <c r="G4116" s="5">
        <v>0</v>
      </c>
      <c r="H4116" s="4" t="s">
        <v>11</v>
      </c>
      <c r="I4116" s="5">
        <v>0</v>
      </c>
      <c r="J4116" s="4">
        <v>46057.473009259258</v>
      </c>
    </row>
    <row r="4117" spans="1:10" x14ac:dyDescent="0.2">
      <c r="A4117" s="2" t="s">
        <v>10</v>
      </c>
      <c r="B4117" s="3" t="str">
        <f t="shared" si="76"/>
        <v>INVITATION_VAD_2023</v>
      </c>
      <c r="C4117" s="3" t="str">
        <f>HYPERLINK("https://otsuka-europe-crm.veevavault.com/ui/#object/sent_email__v/VBL000000019279", "SE-001402645")</f>
        <v>SE-001402645</v>
      </c>
      <c r="D4117" s="4">
        <v>46064.642812500002</v>
      </c>
      <c r="E4117" s="5">
        <v>1</v>
      </c>
      <c r="F4117" s="5">
        <v>9</v>
      </c>
      <c r="G4117" s="5">
        <v>0</v>
      </c>
      <c r="H4117" s="4" t="s">
        <v>11</v>
      </c>
      <c r="I4117" s="5">
        <v>0</v>
      </c>
      <c r="J4117" s="4">
        <v>46057.474074074074</v>
      </c>
    </row>
    <row r="4118" spans="1:10" x14ac:dyDescent="0.2">
      <c r="A4118" s="2" t="s">
        <v>10</v>
      </c>
      <c r="B4118" s="3" t="str">
        <f t="shared" si="76"/>
        <v>INVITATION_VAD_2023</v>
      </c>
      <c r="C4118" s="3" t="str">
        <f>HYPERLINK("https://otsuka-europe-crm.veevavault.com/ui/#object/sent_email__v/VBL00000001A150", "SE-001402663")</f>
        <v>SE-001402663</v>
      </c>
      <c r="D4118" s="4">
        <v>46064.642812500002</v>
      </c>
      <c r="E4118" s="5">
        <v>1</v>
      </c>
      <c r="F4118" s="5">
        <v>8</v>
      </c>
      <c r="G4118" s="5">
        <v>0</v>
      </c>
      <c r="H4118" s="4" t="s">
        <v>11</v>
      </c>
      <c r="I4118" s="5">
        <v>0</v>
      </c>
      <c r="J4118" s="4">
        <v>46057.487627314818</v>
      </c>
    </row>
    <row r="4119" spans="1:10" x14ac:dyDescent="0.2">
      <c r="A4119" s="2" t="s">
        <v>10</v>
      </c>
      <c r="B4119" s="3" t="str">
        <f t="shared" ref="B4119:B4166" si="77">HYPERLINK("https://otsuka-europe-crm.veevavault.com/ui/#object/approved_document__v/V5OZ04ASG4G02Y6", "INVITATION_VAD_2023")</f>
        <v>INVITATION_VAD_2023</v>
      </c>
      <c r="C4119" s="3" t="str">
        <f>HYPERLINK("https://otsuka-europe-crm.veevavault.com/ui/#object/sent_email__v/VBL000000019280", "SE-001402666")</f>
        <v>SE-001402666</v>
      </c>
      <c r="D4119" s="4" t="s">
        <v>11</v>
      </c>
      <c r="E4119" s="5">
        <v>0</v>
      </c>
      <c r="F4119" s="5">
        <v>0</v>
      </c>
      <c r="G4119" s="5">
        <v>0</v>
      </c>
      <c r="H4119" s="4" t="s">
        <v>11</v>
      </c>
      <c r="I4119" s="5">
        <v>0</v>
      </c>
      <c r="J4119" s="4">
        <v>46057.528611111113</v>
      </c>
    </row>
    <row r="4120" spans="1:10" x14ac:dyDescent="0.2">
      <c r="A4120" s="2" t="s">
        <v>10</v>
      </c>
      <c r="B4120" s="3" t="str">
        <f t="shared" si="77"/>
        <v>INVITATION_VAD_2023</v>
      </c>
      <c r="C4120" s="3" t="str">
        <f>HYPERLINK("https://otsuka-europe-crm.veevavault.com/ui/#object/sent_email__v/VBL000000019288", "SE-001402669")</f>
        <v>SE-001402669</v>
      </c>
      <c r="D4120" s="4" t="s">
        <v>11</v>
      </c>
      <c r="E4120" s="5">
        <v>0</v>
      </c>
      <c r="F4120" s="5">
        <v>0</v>
      </c>
      <c r="G4120" s="5">
        <v>0</v>
      </c>
      <c r="H4120" s="4" t="s">
        <v>11</v>
      </c>
      <c r="I4120" s="5">
        <v>0</v>
      </c>
      <c r="J4120" s="4">
        <v>46057.571145833332</v>
      </c>
    </row>
    <row r="4121" spans="1:10" x14ac:dyDescent="0.2">
      <c r="A4121" s="2" t="s">
        <v>10</v>
      </c>
      <c r="B4121" s="3" t="str">
        <f t="shared" si="77"/>
        <v>INVITATION_VAD_2023</v>
      </c>
      <c r="C4121" s="3" t="str">
        <f>HYPERLINK("https://otsuka-europe-crm.veevavault.com/ui/#object/sent_email__v/VBL000000019293", "SE-001402676")</f>
        <v>SE-001402676</v>
      </c>
      <c r="D4121" s="4">
        <v>46069.387986111113</v>
      </c>
      <c r="E4121" s="5">
        <v>1</v>
      </c>
      <c r="F4121" s="5">
        <v>3</v>
      </c>
      <c r="G4121" s="5">
        <v>0</v>
      </c>
      <c r="H4121" s="4" t="s">
        <v>11</v>
      </c>
      <c r="I4121" s="5">
        <v>0</v>
      </c>
      <c r="J4121" s="4">
        <v>46057.624837962961</v>
      </c>
    </row>
    <row r="4122" spans="1:10" x14ac:dyDescent="0.2">
      <c r="A4122" s="2" t="s">
        <v>10</v>
      </c>
      <c r="B4122" s="3" t="str">
        <f t="shared" si="77"/>
        <v>INVITATION_VAD_2023</v>
      </c>
      <c r="C4122" s="3" t="str">
        <f>HYPERLINK("https://otsuka-europe-crm.veevavault.com/ui/#object/sent_email__v/VBL00000001A155", "SE-001402677")</f>
        <v>SE-001402677</v>
      </c>
      <c r="D4122" s="4">
        <v>46066.947974537034</v>
      </c>
      <c r="E4122" s="5">
        <v>1</v>
      </c>
      <c r="F4122" s="5">
        <v>2</v>
      </c>
      <c r="G4122" s="5">
        <v>0</v>
      </c>
      <c r="H4122" s="4" t="s">
        <v>11</v>
      </c>
      <c r="I4122" s="5">
        <v>0</v>
      </c>
      <c r="J4122" s="4">
        <v>46057.62771990741</v>
      </c>
    </row>
    <row r="4123" spans="1:10" x14ac:dyDescent="0.2">
      <c r="A4123" s="2" t="s">
        <v>10</v>
      </c>
      <c r="B4123" s="3" t="str">
        <f t="shared" si="77"/>
        <v>INVITATION_VAD_2023</v>
      </c>
      <c r="C4123" s="3" t="str">
        <f>HYPERLINK("https://otsuka-europe-crm.veevavault.com/ui/#object/sent_email__v/VBL00000001A156", "SE-001402678")</f>
        <v>SE-001402678</v>
      </c>
      <c r="D4123" s="4">
        <v>46058.354745370372</v>
      </c>
      <c r="E4123" s="5">
        <v>1</v>
      </c>
      <c r="F4123" s="5">
        <v>2</v>
      </c>
      <c r="G4123" s="5">
        <v>0</v>
      </c>
      <c r="H4123" s="4" t="s">
        <v>11</v>
      </c>
      <c r="I4123" s="5">
        <v>0</v>
      </c>
      <c r="J4123" s="4">
        <v>46057.62809027778</v>
      </c>
    </row>
    <row r="4124" spans="1:10" x14ac:dyDescent="0.2">
      <c r="A4124" s="2" t="s">
        <v>10</v>
      </c>
      <c r="B4124" s="3" t="str">
        <f t="shared" si="77"/>
        <v>INVITATION_VAD_2023</v>
      </c>
      <c r="C4124" s="3" t="str">
        <f>HYPERLINK("https://otsuka-europe-crm.veevavault.com/ui/#object/sent_email__v/VBL00000001A167", "SE-001402718")</f>
        <v>SE-001402718</v>
      </c>
      <c r="D4124" s="4">
        <v>46061.532060185185</v>
      </c>
      <c r="E4124" s="5">
        <v>1</v>
      </c>
      <c r="F4124" s="5">
        <v>4</v>
      </c>
      <c r="G4124" s="5">
        <v>0</v>
      </c>
      <c r="H4124" s="4" t="s">
        <v>11</v>
      </c>
      <c r="I4124" s="5">
        <v>0</v>
      </c>
      <c r="J4124" s="4">
        <v>46058.299062500002</v>
      </c>
    </row>
    <row r="4125" spans="1:10" x14ac:dyDescent="0.2">
      <c r="A4125" s="2" t="s">
        <v>10</v>
      </c>
      <c r="B4125" s="3" t="str">
        <f t="shared" si="77"/>
        <v>INVITATION_VAD_2023</v>
      </c>
      <c r="C4125" s="3" t="str">
        <f>HYPERLINK("https://otsuka-europe-crm.veevavault.com/ui/#object/sent_email__v/VBL00000001A168", "SE-001402719")</f>
        <v>SE-001402719</v>
      </c>
      <c r="D4125" s="4" t="s">
        <v>11</v>
      </c>
      <c r="E4125" s="5">
        <v>0</v>
      </c>
      <c r="F4125" s="5">
        <v>0</v>
      </c>
      <c r="G4125" s="5">
        <v>0</v>
      </c>
      <c r="H4125" s="4" t="s">
        <v>11</v>
      </c>
      <c r="I4125" s="5">
        <v>0</v>
      </c>
      <c r="J4125" s="4">
        <v>46058.299120370371</v>
      </c>
    </row>
    <row r="4126" spans="1:10" x14ac:dyDescent="0.2">
      <c r="A4126" s="2" t="s">
        <v>10</v>
      </c>
      <c r="B4126" s="3" t="str">
        <f t="shared" si="77"/>
        <v>INVITATION_VAD_2023</v>
      </c>
      <c r="C4126" s="3" t="str">
        <f>HYPERLINK("https://otsuka-europe-crm.veevavault.com/ui/#object/sent_email__v/VBL000000019363", "SE-001402788")</f>
        <v>SE-001402788</v>
      </c>
      <c r="D4126" s="4">
        <v>46078.353379629632</v>
      </c>
      <c r="E4126" s="5">
        <v>1</v>
      </c>
      <c r="F4126" s="5">
        <v>3</v>
      </c>
      <c r="G4126" s="5">
        <v>0</v>
      </c>
      <c r="H4126" s="4" t="s">
        <v>11</v>
      </c>
      <c r="I4126" s="5">
        <v>0</v>
      </c>
      <c r="J4126" s="4">
        <v>46058.572546296295</v>
      </c>
    </row>
    <row r="4127" spans="1:10" x14ac:dyDescent="0.2">
      <c r="A4127" s="2" t="s">
        <v>10</v>
      </c>
      <c r="B4127" s="3" t="str">
        <f t="shared" si="77"/>
        <v>INVITATION_VAD_2023</v>
      </c>
      <c r="C4127" s="3" t="str">
        <f>HYPERLINK("https://otsuka-europe-crm.veevavault.com/ui/#object/sent_email__v/VBL00000001B364", "SE-001403572")</f>
        <v>SE-001403572</v>
      </c>
      <c r="D4127" s="4">
        <v>46063.883449074077</v>
      </c>
      <c r="E4127" s="5">
        <v>1</v>
      </c>
      <c r="F4127" s="5">
        <v>1</v>
      </c>
      <c r="G4127" s="5">
        <v>0</v>
      </c>
      <c r="H4127" s="4" t="s">
        <v>11</v>
      </c>
      <c r="I4127" s="5">
        <v>0</v>
      </c>
      <c r="J4127" s="4">
        <v>46062.658622685187</v>
      </c>
    </row>
    <row r="4128" spans="1:10" x14ac:dyDescent="0.2">
      <c r="A4128" s="2" t="s">
        <v>10</v>
      </c>
      <c r="B4128" s="3" t="str">
        <f t="shared" si="77"/>
        <v>INVITATION_VAD_2023</v>
      </c>
      <c r="C4128" s="3" t="str">
        <f>HYPERLINK("https://otsuka-europe-crm.veevavault.com/ui/#object/sent_email__v/VBL00000001C343", "SE-001403645")</f>
        <v>SE-001403645</v>
      </c>
      <c r="D4128" s="4">
        <v>46063.883252314816</v>
      </c>
      <c r="E4128" s="5">
        <v>1</v>
      </c>
      <c r="F4128" s="5">
        <v>1</v>
      </c>
      <c r="G4128" s="5">
        <v>0</v>
      </c>
      <c r="H4128" s="4" t="s">
        <v>11</v>
      </c>
      <c r="I4128" s="5">
        <v>0</v>
      </c>
      <c r="J4128" s="4">
        <v>46063.535069444442</v>
      </c>
    </row>
    <row r="4129" spans="1:10" x14ac:dyDescent="0.2">
      <c r="A4129" s="2" t="s">
        <v>10</v>
      </c>
      <c r="B4129" s="3" t="str">
        <f t="shared" si="77"/>
        <v>INVITATION_VAD_2023</v>
      </c>
      <c r="C4129" s="3" t="str">
        <f>HYPERLINK("https://otsuka-europe-crm.veevavault.com/ui/#object/sent_email__v/VBL00000001C362", "SE-001403675")</f>
        <v>SE-001403675</v>
      </c>
      <c r="D4129" s="4">
        <v>46064.37158564815</v>
      </c>
      <c r="E4129" s="5">
        <v>1</v>
      </c>
      <c r="F4129" s="5">
        <v>3</v>
      </c>
      <c r="G4129" s="5">
        <v>0</v>
      </c>
      <c r="H4129" s="4" t="s">
        <v>11</v>
      </c>
      <c r="I4129" s="5">
        <v>0</v>
      </c>
      <c r="J4129" s="4">
        <v>46064.291250000002</v>
      </c>
    </row>
    <row r="4130" spans="1:10" x14ac:dyDescent="0.2">
      <c r="A4130" s="2" t="s">
        <v>10</v>
      </c>
      <c r="B4130" s="3" t="str">
        <f t="shared" si="77"/>
        <v>INVITATION_VAD_2023</v>
      </c>
      <c r="C4130" s="3" t="str">
        <f>HYPERLINK("https://otsuka-europe-crm.veevavault.com/ui/#object/sent_email__v/VBL00000001B423", "SE-001403679")</f>
        <v>SE-001403679</v>
      </c>
      <c r="D4130" s="4">
        <v>46064.37158564815</v>
      </c>
      <c r="E4130" s="5">
        <v>1</v>
      </c>
      <c r="F4130" s="5">
        <v>3</v>
      </c>
      <c r="G4130" s="5">
        <v>0</v>
      </c>
      <c r="H4130" s="4" t="s">
        <v>11</v>
      </c>
      <c r="I4130" s="5">
        <v>0</v>
      </c>
      <c r="J4130" s="4">
        <v>46064.313981481479</v>
      </c>
    </row>
    <row r="4131" spans="1:10" x14ac:dyDescent="0.2">
      <c r="A4131" s="2" t="s">
        <v>10</v>
      </c>
      <c r="B4131" s="3" t="str">
        <f t="shared" si="77"/>
        <v>INVITATION_VAD_2023</v>
      </c>
      <c r="C4131" s="3" t="str">
        <f>HYPERLINK("https://otsuka-europe-crm.veevavault.com/ui/#object/sent_email__v/VBL00000001B457", "SE-001403761")</f>
        <v>SE-001403761</v>
      </c>
      <c r="D4131" s="4">
        <v>46068.827314814815</v>
      </c>
      <c r="E4131" s="5">
        <v>1</v>
      </c>
      <c r="F4131" s="5">
        <v>19</v>
      </c>
      <c r="G4131" s="5">
        <v>0</v>
      </c>
      <c r="H4131" s="4" t="s">
        <v>11</v>
      </c>
      <c r="I4131" s="5">
        <v>0</v>
      </c>
      <c r="J4131" s="4">
        <v>46064.543587962966</v>
      </c>
    </row>
    <row r="4132" spans="1:10" x14ac:dyDescent="0.2">
      <c r="A4132" s="2" t="s">
        <v>10</v>
      </c>
      <c r="B4132" s="3" t="str">
        <f t="shared" si="77"/>
        <v>INVITATION_VAD_2023</v>
      </c>
      <c r="C4132" s="3" t="str">
        <f>HYPERLINK("https://otsuka-europe-crm.veevavault.com/ui/#object/sent_email__v/VBL00000001B528", "SE-001403872")</f>
        <v>SE-001403872</v>
      </c>
      <c r="D4132" s="4">
        <v>46065.452615740738</v>
      </c>
      <c r="E4132" s="5">
        <v>1</v>
      </c>
      <c r="F4132" s="5">
        <v>1</v>
      </c>
      <c r="G4132" s="5">
        <v>0</v>
      </c>
      <c r="H4132" s="4" t="s">
        <v>11</v>
      </c>
      <c r="I4132" s="5">
        <v>0</v>
      </c>
      <c r="J4132" s="4">
        <v>46065.451643518521</v>
      </c>
    </row>
    <row r="4133" spans="1:10" x14ac:dyDescent="0.2">
      <c r="A4133" s="2" t="s">
        <v>10</v>
      </c>
      <c r="B4133" s="3" t="str">
        <f t="shared" si="77"/>
        <v>INVITATION_VAD_2023</v>
      </c>
      <c r="C4133" s="3" t="str">
        <f>HYPERLINK("https://otsuka-europe-crm.veevavault.com/ui/#object/sent_email__v/VBL00000001C489", "SE-001403922")</f>
        <v>SE-001403922</v>
      </c>
      <c r="D4133" s="4">
        <v>46069.429328703707</v>
      </c>
      <c r="E4133" s="5">
        <v>1</v>
      </c>
      <c r="F4133" s="5">
        <v>2</v>
      </c>
      <c r="G4133" s="5">
        <v>0</v>
      </c>
      <c r="H4133" s="4" t="s">
        <v>11</v>
      </c>
      <c r="I4133" s="5">
        <v>0</v>
      </c>
      <c r="J4133" s="4">
        <v>46065.484699074077</v>
      </c>
    </row>
    <row r="4134" spans="1:10" x14ac:dyDescent="0.2">
      <c r="A4134" s="2" t="s">
        <v>10</v>
      </c>
      <c r="B4134" s="3" t="str">
        <f t="shared" si="77"/>
        <v>INVITATION_VAD_2023</v>
      </c>
      <c r="C4134" s="3" t="str">
        <f>HYPERLINK("https://otsuka-europe-crm.veevavault.com/ui/#object/sent_email__v/VBL00000001C492", "SE-001403930")</f>
        <v>SE-001403930</v>
      </c>
      <c r="D4134" s="4">
        <v>46072.504618055558</v>
      </c>
      <c r="E4134" s="5">
        <v>1</v>
      </c>
      <c r="F4134" s="5">
        <v>2</v>
      </c>
      <c r="G4134" s="5">
        <v>0</v>
      </c>
      <c r="H4134" s="4" t="s">
        <v>11</v>
      </c>
      <c r="I4134" s="5">
        <v>0</v>
      </c>
      <c r="J4134" s="4">
        <v>46065.500381944446</v>
      </c>
    </row>
    <row r="4135" spans="1:10" x14ac:dyDescent="0.2">
      <c r="A4135" s="2" t="s">
        <v>10</v>
      </c>
      <c r="B4135" s="3" t="str">
        <f t="shared" si="77"/>
        <v>INVITATION_VAD_2023</v>
      </c>
      <c r="C4135" s="3" t="str">
        <f>HYPERLINK("https://otsuka-europe-crm.veevavault.com/ui/#object/sent_email__v/VBL00000001B562", "SE-001403933")</f>
        <v>SE-001403933</v>
      </c>
      <c r="D4135" s="4" t="s">
        <v>11</v>
      </c>
      <c r="E4135" s="5">
        <v>0</v>
      </c>
      <c r="F4135" s="5">
        <v>0</v>
      </c>
      <c r="G4135" s="5">
        <v>0</v>
      </c>
      <c r="H4135" s="4" t="s">
        <v>11</v>
      </c>
      <c r="I4135" s="5">
        <v>0</v>
      </c>
      <c r="J4135" s="4">
        <v>46065.514479166668</v>
      </c>
    </row>
    <row r="4136" spans="1:10" x14ac:dyDescent="0.2">
      <c r="A4136" s="2" t="s">
        <v>10</v>
      </c>
      <c r="B4136" s="3" t="str">
        <f t="shared" si="77"/>
        <v>INVITATION_VAD_2023</v>
      </c>
      <c r="C4136" s="3" t="str">
        <f>HYPERLINK("https://otsuka-europe-crm.veevavault.com/ui/#object/sent_email__v/VBL00000001B580", "SE-001403961")</f>
        <v>SE-001403961</v>
      </c>
      <c r="D4136" s="4">
        <v>46065.661874999998</v>
      </c>
      <c r="E4136" s="5">
        <v>1</v>
      </c>
      <c r="F4136" s="5">
        <v>1</v>
      </c>
      <c r="G4136" s="5">
        <v>0</v>
      </c>
      <c r="H4136" s="4" t="s">
        <v>11</v>
      </c>
      <c r="I4136" s="5">
        <v>0</v>
      </c>
      <c r="J4136" s="4">
        <v>46065.661574074074</v>
      </c>
    </row>
    <row r="4137" spans="1:10" x14ac:dyDescent="0.2">
      <c r="A4137" s="2" t="s">
        <v>10</v>
      </c>
      <c r="B4137" s="3" t="str">
        <f t="shared" si="77"/>
        <v>INVITATION_VAD_2023</v>
      </c>
      <c r="C4137" s="3" t="str">
        <f>HYPERLINK("https://otsuka-europe-crm.veevavault.com/ui/#object/sent_email__v/VBL00000001B581", "SE-001403962")</f>
        <v>SE-001403962</v>
      </c>
      <c r="D4137" s="4" t="s">
        <v>11</v>
      </c>
      <c r="E4137" s="5">
        <v>0</v>
      </c>
      <c r="F4137" s="5">
        <v>0</v>
      </c>
      <c r="G4137" s="5">
        <v>0</v>
      </c>
      <c r="H4137" s="4" t="s">
        <v>11</v>
      </c>
      <c r="I4137" s="5">
        <v>0</v>
      </c>
      <c r="J4137" s="4">
        <v>46065.662210648145</v>
      </c>
    </row>
    <row r="4138" spans="1:10" x14ac:dyDescent="0.2">
      <c r="A4138" s="2" t="s">
        <v>10</v>
      </c>
      <c r="B4138" s="3" t="str">
        <f t="shared" si="77"/>
        <v>INVITATION_VAD_2023</v>
      </c>
      <c r="C4138" s="3" t="str">
        <f>HYPERLINK("https://otsuka-europe-crm.veevavault.com/ui/#object/sent_email__v/VBL00000001B585", "SE-001403966")</f>
        <v>SE-001403966</v>
      </c>
      <c r="D4138" s="4">
        <v>46066.128101851849</v>
      </c>
      <c r="E4138" s="5">
        <v>1</v>
      </c>
      <c r="F4138" s="5">
        <v>2</v>
      </c>
      <c r="G4138" s="5">
        <v>0</v>
      </c>
      <c r="H4138" s="4" t="s">
        <v>11</v>
      </c>
      <c r="I4138" s="5">
        <v>0</v>
      </c>
      <c r="J4138" s="4">
        <v>46065.717812499999</v>
      </c>
    </row>
    <row r="4139" spans="1:10" x14ac:dyDescent="0.2">
      <c r="A4139" s="2" t="s">
        <v>10</v>
      </c>
      <c r="B4139" s="3" t="str">
        <f t="shared" si="77"/>
        <v>INVITATION_VAD_2023</v>
      </c>
      <c r="C4139" s="3" t="str">
        <f>HYPERLINK("https://otsuka-europe-crm.veevavault.com/ui/#object/sent_email__v/VBL00000001D002", "SE-001403974")</f>
        <v>SE-001403974</v>
      </c>
      <c r="D4139" s="4">
        <v>46065.835775462961</v>
      </c>
      <c r="E4139" s="5">
        <v>1</v>
      </c>
      <c r="F4139" s="5">
        <v>1</v>
      </c>
      <c r="G4139" s="5">
        <v>0</v>
      </c>
      <c r="H4139" s="4" t="s">
        <v>11</v>
      </c>
      <c r="I4139" s="5">
        <v>0</v>
      </c>
      <c r="J4139" s="4">
        <v>46065.835694444446</v>
      </c>
    </row>
    <row r="4140" spans="1:10" x14ac:dyDescent="0.2">
      <c r="A4140" s="2" t="s">
        <v>10</v>
      </c>
      <c r="B4140" s="3" t="str">
        <f t="shared" si="77"/>
        <v>INVITATION_VAD_2023</v>
      </c>
      <c r="C4140" s="3" t="str">
        <f>HYPERLINK("https://otsuka-europe-crm.veevavault.com/ui/#object/sent_email__v/VBL00000001D003", "SE-001403975")</f>
        <v>SE-001403975</v>
      </c>
      <c r="D4140" s="4">
        <v>46071.49491898148</v>
      </c>
      <c r="E4140" s="5">
        <v>1</v>
      </c>
      <c r="F4140" s="5">
        <v>5</v>
      </c>
      <c r="G4140" s="5">
        <v>0</v>
      </c>
      <c r="H4140" s="4" t="s">
        <v>11</v>
      </c>
      <c r="I4140" s="5">
        <v>0</v>
      </c>
      <c r="J4140" s="4">
        <v>46065.911956018521</v>
      </c>
    </row>
    <row r="4141" spans="1:10" x14ac:dyDescent="0.2">
      <c r="A4141" s="2" t="s">
        <v>10</v>
      </c>
      <c r="B4141" s="3" t="str">
        <f t="shared" si="77"/>
        <v>INVITATION_VAD_2023</v>
      </c>
      <c r="C4141" s="3" t="str">
        <f>HYPERLINK("https://otsuka-europe-crm.veevavault.com/ui/#object/sent_email__v/VBL00000001D082", "SE-001404192")</f>
        <v>SE-001404192</v>
      </c>
      <c r="D4141" s="4" t="s">
        <v>11</v>
      </c>
      <c r="E4141" s="5">
        <v>0</v>
      </c>
      <c r="F4141" s="5">
        <v>0</v>
      </c>
      <c r="G4141" s="5">
        <v>0</v>
      </c>
      <c r="H4141" s="4" t="s">
        <v>11</v>
      </c>
      <c r="I4141" s="5">
        <v>0</v>
      </c>
      <c r="J4141" s="4">
        <v>46069.658483796295</v>
      </c>
    </row>
    <row r="4142" spans="1:10" x14ac:dyDescent="0.2">
      <c r="A4142" s="2" t="s">
        <v>10</v>
      </c>
      <c r="B4142" s="3" t="str">
        <f t="shared" si="77"/>
        <v>INVITATION_VAD_2023</v>
      </c>
      <c r="C4142" s="3" t="str">
        <f>HYPERLINK("https://otsuka-europe-crm.veevavault.com/ui/#object/sent_email__v/VBL00000001E288", "SE-001404400")</f>
        <v>SE-001404400</v>
      </c>
      <c r="D4142" s="4" t="s">
        <v>11</v>
      </c>
      <c r="E4142" s="5">
        <v>0</v>
      </c>
      <c r="F4142" s="5">
        <v>0</v>
      </c>
      <c r="G4142" s="5">
        <v>0</v>
      </c>
      <c r="H4142" s="4" t="s">
        <v>11</v>
      </c>
      <c r="I4142" s="5">
        <v>0</v>
      </c>
      <c r="J4142" s="4">
        <v>46070.534351851849</v>
      </c>
    </row>
    <row r="4143" spans="1:10" x14ac:dyDescent="0.2">
      <c r="A4143" s="2" t="s">
        <v>10</v>
      </c>
      <c r="B4143" s="3" t="str">
        <f t="shared" si="77"/>
        <v>INVITATION_VAD_2023</v>
      </c>
      <c r="C4143" s="3" t="str">
        <f>HYPERLINK("https://otsuka-europe-crm.veevavault.com/ui/#object/sent_email__v/VBL00000001E318", "SE-001404447")</f>
        <v>SE-001404447</v>
      </c>
      <c r="D4143" s="4">
        <v>46074.626180555555</v>
      </c>
      <c r="E4143" s="5">
        <v>1</v>
      </c>
      <c r="F4143" s="5">
        <v>2</v>
      </c>
      <c r="G4143" s="5">
        <v>0</v>
      </c>
      <c r="H4143" s="4" t="s">
        <v>11</v>
      </c>
      <c r="I4143" s="5">
        <v>0</v>
      </c>
      <c r="J4143" s="4">
        <v>46070.656759259262</v>
      </c>
    </row>
    <row r="4144" spans="1:10" x14ac:dyDescent="0.2">
      <c r="A4144" s="2" t="s">
        <v>10</v>
      </c>
      <c r="B4144" s="3" t="str">
        <f t="shared" si="77"/>
        <v>INVITATION_VAD_2023</v>
      </c>
      <c r="C4144" s="3" t="str">
        <f>HYPERLINK("https://otsuka-europe-crm.veevavault.com/ui/#object/sent_email__v/VBL00000001E319", "SE-001404448")</f>
        <v>SE-001404448</v>
      </c>
      <c r="D4144" s="4">
        <v>46070.947835648149</v>
      </c>
      <c r="E4144" s="5">
        <v>1</v>
      </c>
      <c r="F4144" s="5">
        <v>2</v>
      </c>
      <c r="G4144" s="5">
        <v>0</v>
      </c>
      <c r="H4144" s="4" t="s">
        <v>11</v>
      </c>
      <c r="I4144" s="5">
        <v>0</v>
      </c>
      <c r="J4144" s="4">
        <v>46070.657465277778</v>
      </c>
    </row>
    <row r="4145" spans="1:10" x14ac:dyDescent="0.2">
      <c r="A4145" s="2" t="s">
        <v>10</v>
      </c>
      <c r="B4145" s="3" t="str">
        <f t="shared" si="77"/>
        <v>INVITATION_VAD_2023</v>
      </c>
      <c r="C4145" s="3" t="str">
        <f>HYPERLINK("https://otsuka-europe-crm.veevavault.com/ui/#object/sent_email__v/VBL00000001E320", "SE-001404449")</f>
        <v>SE-001404449</v>
      </c>
      <c r="D4145" s="4">
        <v>46071.303252314814</v>
      </c>
      <c r="E4145" s="5">
        <v>1</v>
      </c>
      <c r="F4145" s="5">
        <v>1</v>
      </c>
      <c r="G4145" s="5">
        <v>0</v>
      </c>
      <c r="H4145" s="4" t="s">
        <v>11</v>
      </c>
      <c r="I4145" s="5">
        <v>0</v>
      </c>
      <c r="J4145" s="4">
        <v>46070.658009259256</v>
      </c>
    </row>
    <row r="4146" spans="1:10" x14ac:dyDescent="0.2">
      <c r="A4146" s="2" t="s">
        <v>10</v>
      </c>
      <c r="B4146" s="3" t="str">
        <f t="shared" si="77"/>
        <v>INVITATION_VAD_2023</v>
      </c>
      <c r="C4146" s="3" t="str">
        <f>HYPERLINK("https://otsuka-europe-crm.veevavault.com/ui/#object/sent_email__v/VBL00000001E325", "SE-001404459")</f>
        <v>SE-001404459</v>
      </c>
      <c r="D4146" s="4">
        <v>46070.947835648149</v>
      </c>
      <c r="E4146" s="5">
        <v>1</v>
      </c>
      <c r="F4146" s="5">
        <v>2</v>
      </c>
      <c r="G4146" s="5">
        <v>0</v>
      </c>
      <c r="H4146" s="4" t="s">
        <v>11</v>
      </c>
      <c r="I4146" s="5">
        <v>0</v>
      </c>
      <c r="J4146" s="4">
        <v>46070.707916666666</v>
      </c>
    </row>
    <row r="4147" spans="1:10" x14ac:dyDescent="0.2">
      <c r="A4147" s="2" t="s">
        <v>10</v>
      </c>
      <c r="B4147" s="3" t="str">
        <f t="shared" si="77"/>
        <v>INVITATION_VAD_2023</v>
      </c>
      <c r="C4147" s="3" t="str">
        <f>HYPERLINK("https://otsuka-europe-crm.veevavault.com/ui/#object/sent_email__v/VBL00000001E335", "SE-001404480")</f>
        <v>SE-001404480</v>
      </c>
      <c r="D4147" s="4">
        <v>46071.355138888888</v>
      </c>
      <c r="E4147" s="5">
        <v>1</v>
      </c>
      <c r="F4147" s="5">
        <v>5</v>
      </c>
      <c r="G4147" s="5">
        <v>0</v>
      </c>
      <c r="H4147" s="4" t="s">
        <v>11</v>
      </c>
      <c r="I4147" s="5">
        <v>0</v>
      </c>
      <c r="J4147" s="4">
        <v>46071.295393518521</v>
      </c>
    </row>
    <row r="4148" spans="1:10" x14ac:dyDescent="0.2">
      <c r="A4148" s="2" t="s">
        <v>10</v>
      </c>
      <c r="B4148" s="3" t="str">
        <f t="shared" si="77"/>
        <v>INVITATION_VAD_2023</v>
      </c>
      <c r="C4148" s="3" t="str">
        <f>HYPERLINK("https://otsuka-europe-crm.veevavault.com/ui/#object/sent_email__v/VBL00000001E350", "SE-001404497")</f>
        <v>SE-001404497</v>
      </c>
      <c r="D4148" s="4">
        <v>46071.869247685187</v>
      </c>
      <c r="E4148" s="5">
        <v>1</v>
      </c>
      <c r="F4148" s="5">
        <v>4</v>
      </c>
      <c r="G4148" s="5">
        <v>0</v>
      </c>
      <c r="H4148" s="4" t="s">
        <v>11</v>
      </c>
      <c r="I4148" s="5">
        <v>0</v>
      </c>
      <c r="J4148" s="4">
        <v>46071.409560185188</v>
      </c>
    </row>
    <row r="4149" spans="1:10" x14ac:dyDescent="0.2">
      <c r="A4149" s="2" t="s">
        <v>10</v>
      </c>
      <c r="B4149" s="3" t="str">
        <f t="shared" si="77"/>
        <v>INVITATION_VAD_2023</v>
      </c>
      <c r="C4149" s="3" t="str">
        <f>HYPERLINK("https://otsuka-europe-crm.veevavault.com/ui/#object/sent_email__v/VBL00000001E498", "SE-001405117")</f>
        <v>SE-001405117</v>
      </c>
      <c r="D4149" s="4">
        <v>46072.545092592591</v>
      </c>
      <c r="E4149" s="5">
        <v>1</v>
      </c>
      <c r="F4149" s="5">
        <v>2</v>
      </c>
      <c r="G4149" s="5">
        <v>0</v>
      </c>
      <c r="H4149" s="4" t="s">
        <v>11</v>
      </c>
      <c r="I4149" s="5">
        <v>0</v>
      </c>
      <c r="J4149" s="4">
        <v>46072.537962962961</v>
      </c>
    </row>
    <row r="4150" spans="1:10" x14ac:dyDescent="0.2">
      <c r="A4150" s="2" t="s">
        <v>10</v>
      </c>
      <c r="B4150" s="3" t="str">
        <f t="shared" si="77"/>
        <v>INVITATION_VAD_2023</v>
      </c>
      <c r="C4150" s="3" t="str">
        <f>HYPERLINK("https://otsuka-europe-crm.veevavault.com/ui/#object/sent_email__v/VBL00000001D688", "SE-001405118")</f>
        <v>SE-001405118</v>
      </c>
      <c r="D4150" s="4">
        <v>46072.59039351852</v>
      </c>
      <c r="E4150" s="5">
        <v>1</v>
      </c>
      <c r="F4150" s="5">
        <v>1</v>
      </c>
      <c r="G4150" s="5">
        <v>0</v>
      </c>
      <c r="H4150" s="4" t="s">
        <v>11</v>
      </c>
      <c r="I4150" s="5">
        <v>0</v>
      </c>
      <c r="J4150" s="4">
        <v>46072.541319444441</v>
      </c>
    </row>
    <row r="4151" spans="1:10" x14ac:dyDescent="0.2">
      <c r="A4151" s="2" t="s">
        <v>10</v>
      </c>
      <c r="B4151" s="3" t="str">
        <f t="shared" si="77"/>
        <v>INVITATION_VAD_2023</v>
      </c>
      <c r="C4151" s="3" t="str">
        <f>HYPERLINK("https://otsuka-europe-crm.veevavault.com/ui/#object/sent_email__v/VBL00000001E499", "SE-001405119")</f>
        <v>SE-001405119</v>
      </c>
      <c r="D4151" s="4">
        <v>46072.545706018522</v>
      </c>
      <c r="E4151" s="5">
        <v>1</v>
      </c>
      <c r="F4151" s="5">
        <v>1</v>
      </c>
      <c r="G4151" s="5">
        <v>0</v>
      </c>
      <c r="H4151" s="4" t="s">
        <v>11</v>
      </c>
      <c r="I4151" s="5">
        <v>0</v>
      </c>
      <c r="J4151" s="4">
        <v>46072.545648148145</v>
      </c>
    </row>
    <row r="4152" spans="1:10" x14ac:dyDescent="0.2">
      <c r="A4152" s="2" t="s">
        <v>10</v>
      </c>
      <c r="B4152" s="3" t="str">
        <f t="shared" si="77"/>
        <v>INVITATION_VAD_2023</v>
      </c>
      <c r="C4152" s="3" t="str">
        <f>HYPERLINK("https://otsuka-europe-crm.veevavault.com/ui/#object/sent_email__v/VBL00000001G007", "SE-001405171")</f>
        <v>SE-001405171</v>
      </c>
      <c r="D4152" s="4">
        <v>46073.29965277778</v>
      </c>
      <c r="E4152" s="5">
        <v>1</v>
      </c>
      <c r="F4152" s="5">
        <v>1</v>
      </c>
      <c r="G4152" s="5">
        <v>0</v>
      </c>
      <c r="H4152" s="4" t="s">
        <v>11</v>
      </c>
      <c r="I4152" s="5">
        <v>0</v>
      </c>
      <c r="J4152" s="4">
        <v>46073.295358796298</v>
      </c>
    </row>
    <row r="4153" spans="1:10" x14ac:dyDescent="0.2">
      <c r="A4153" s="2" t="s">
        <v>10</v>
      </c>
      <c r="B4153" s="3" t="str">
        <f t="shared" si="77"/>
        <v>INVITATION_VAD_2023</v>
      </c>
      <c r="C4153" s="3" t="str">
        <f>HYPERLINK("https://otsuka-europe-crm.veevavault.com/ui/#object/sent_email__v/VBL00000001G028", "SE-001405195")</f>
        <v>SE-001405195</v>
      </c>
      <c r="D4153" s="4">
        <v>46073.405023148145</v>
      </c>
      <c r="E4153" s="5">
        <v>1</v>
      </c>
      <c r="F4153" s="5">
        <v>1</v>
      </c>
      <c r="G4153" s="5">
        <v>0</v>
      </c>
      <c r="H4153" s="4" t="s">
        <v>11</v>
      </c>
      <c r="I4153" s="5">
        <v>0</v>
      </c>
      <c r="J4153" s="4">
        <v>46073.404872685183</v>
      </c>
    </row>
    <row r="4154" spans="1:10" x14ac:dyDescent="0.2">
      <c r="A4154" s="2" t="s">
        <v>10</v>
      </c>
      <c r="B4154" s="3" t="str">
        <f t="shared" si="77"/>
        <v>INVITATION_VAD_2023</v>
      </c>
      <c r="C4154" s="3" t="str">
        <f>HYPERLINK("https://otsuka-europe-crm.veevavault.com/ui/#object/sent_email__v/VBL00000001F040", "SE-001405429")</f>
        <v>SE-001405429</v>
      </c>
      <c r="D4154" s="4" t="s">
        <v>11</v>
      </c>
      <c r="E4154" s="5">
        <v>0</v>
      </c>
      <c r="F4154" s="5">
        <v>0</v>
      </c>
      <c r="G4154" s="5">
        <v>0</v>
      </c>
      <c r="H4154" s="4" t="s">
        <v>11</v>
      </c>
      <c r="I4154" s="5">
        <v>0</v>
      </c>
      <c r="J4154" s="4">
        <v>46073.603356481479</v>
      </c>
    </row>
    <row r="4155" spans="1:10" x14ac:dyDescent="0.2">
      <c r="A4155" s="2" t="s">
        <v>10</v>
      </c>
      <c r="B4155" s="3" t="str">
        <f t="shared" si="77"/>
        <v>INVITATION_VAD_2023</v>
      </c>
      <c r="C4155" s="3" t="str">
        <f>HYPERLINK("https://otsuka-europe-crm.veevavault.com/ui/#object/sent_email__v/VBL00000001G242", "SE-001405444")</f>
        <v>SE-001405444</v>
      </c>
      <c r="D4155" s="4" t="s">
        <v>11</v>
      </c>
      <c r="E4155" s="5">
        <v>0</v>
      </c>
      <c r="F4155" s="5">
        <v>0</v>
      </c>
      <c r="G4155" s="5">
        <v>0</v>
      </c>
      <c r="H4155" s="4" t="s">
        <v>11</v>
      </c>
      <c r="I4155" s="5">
        <v>0</v>
      </c>
      <c r="J4155" s="4">
        <v>46073.751782407409</v>
      </c>
    </row>
    <row r="4156" spans="1:10" x14ac:dyDescent="0.2">
      <c r="A4156" s="2" t="s">
        <v>10</v>
      </c>
      <c r="B4156" s="3" t="str">
        <f t="shared" si="77"/>
        <v>INVITATION_VAD_2023</v>
      </c>
      <c r="C4156" s="3" t="str">
        <f>HYPERLINK("https://otsuka-europe-crm.veevavault.com/ui/#object/sent_email__v/VBL00000001G290", "SE-001405545")</f>
        <v>SE-001405545</v>
      </c>
      <c r="D4156" s="4">
        <v>46076.391562500001</v>
      </c>
      <c r="E4156" s="5">
        <v>1</v>
      </c>
      <c r="F4156" s="5">
        <v>1</v>
      </c>
      <c r="G4156" s="5">
        <v>0</v>
      </c>
      <c r="H4156" s="4" t="s">
        <v>11</v>
      </c>
      <c r="I4156" s="5">
        <v>0</v>
      </c>
      <c r="J4156" s="4">
        <v>46076.323206018518</v>
      </c>
    </row>
    <row r="4157" spans="1:10" x14ac:dyDescent="0.2">
      <c r="A4157" s="2" t="s">
        <v>10</v>
      </c>
      <c r="B4157" s="3" t="str">
        <f t="shared" si="77"/>
        <v>INVITATION_VAD_2023</v>
      </c>
      <c r="C4157" s="3" t="str">
        <f>HYPERLINK("https://otsuka-europe-crm.veevavault.com/ui/#object/sent_email__v/VBL00000001G306", "SE-001405575")</f>
        <v>SE-001405575</v>
      </c>
      <c r="D4157" s="4">
        <v>46078.354525462964</v>
      </c>
      <c r="E4157" s="5">
        <v>1</v>
      </c>
      <c r="F4157" s="5">
        <v>2</v>
      </c>
      <c r="G4157" s="5">
        <v>0</v>
      </c>
      <c r="H4157" s="4" t="s">
        <v>11</v>
      </c>
      <c r="I4157" s="5">
        <v>0</v>
      </c>
      <c r="J4157" s="4">
        <v>46076.537453703706</v>
      </c>
    </row>
    <row r="4158" spans="1:10" x14ac:dyDescent="0.2">
      <c r="A4158" s="2" t="s">
        <v>10</v>
      </c>
      <c r="B4158" s="3" t="str">
        <f t="shared" si="77"/>
        <v>INVITATION_VAD_2023</v>
      </c>
      <c r="C4158" s="3" t="str">
        <f>HYPERLINK("https://otsuka-europe-crm.veevavault.com/ui/#object/sent_email__v/VBL00000001G493", "SE-001405957")</f>
        <v>SE-001405957</v>
      </c>
      <c r="D4158" s="4">
        <v>46077.535613425927</v>
      </c>
      <c r="E4158" s="5">
        <v>1</v>
      </c>
      <c r="F4158" s="5">
        <v>3</v>
      </c>
      <c r="G4158" s="5">
        <v>0</v>
      </c>
      <c r="H4158" s="4" t="s">
        <v>11</v>
      </c>
      <c r="I4158" s="5">
        <v>0</v>
      </c>
      <c r="J4158" s="4">
        <v>46077.327511574076</v>
      </c>
    </row>
    <row r="4159" spans="1:10" x14ac:dyDescent="0.2">
      <c r="A4159" s="2" t="s">
        <v>10</v>
      </c>
      <c r="B4159" s="3" t="str">
        <f t="shared" si="77"/>
        <v>INVITATION_VAD_2023</v>
      </c>
      <c r="C4159" s="3" t="str">
        <f>HYPERLINK("https://otsuka-europe-crm.veevavault.com/ui/#object/sent_email__v/VBL00000001F312", "SE-001405968")</f>
        <v>SE-001405968</v>
      </c>
      <c r="D4159" s="4" t="s">
        <v>11</v>
      </c>
      <c r="E4159" s="5">
        <v>0</v>
      </c>
      <c r="F4159" s="5">
        <v>0</v>
      </c>
      <c r="G4159" s="5">
        <v>0</v>
      </c>
      <c r="H4159" s="4" t="s">
        <v>11</v>
      </c>
      <c r="I4159" s="5">
        <v>0</v>
      </c>
      <c r="J4159" s="4">
        <v>46077.424166666664</v>
      </c>
    </row>
    <row r="4160" spans="1:10" x14ac:dyDescent="0.2">
      <c r="A4160" s="2" t="s">
        <v>10</v>
      </c>
      <c r="B4160" s="3" t="str">
        <f t="shared" si="77"/>
        <v>INVITATION_VAD_2023</v>
      </c>
      <c r="C4160" s="3" t="str">
        <f>HYPERLINK("https://otsuka-europe-crm.veevavault.com/ui/#object/sent_email__v/VBL00000001F341", "SE-001406017")</f>
        <v>SE-001406017</v>
      </c>
      <c r="D4160" s="4">
        <v>46077.60297453704</v>
      </c>
      <c r="E4160" s="5">
        <v>1</v>
      </c>
      <c r="F4160" s="5">
        <v>2</v>
      </c>
      <c r="G4160" s="5">
        <v>0</v>
      </c>
      <c r="H4160" s="4" t="s">
        <v>11</v>
      </c>
      <c r="I4160" s="5">
        <v>0</v>
      </c>
      <c r="J4160" s="4">
        <v>46077.589872685188</v>
      </c>
    </row>
    <row r="4161" spans="1:10" x14ac:dyDescent="0.2">
      <c r="A4161" s="2" t="s">
        <v>10</v>
      </c>
      <c r="B4161" s="3" t="str">
        <f t="shared" si="77"/>
        <v>INVITATION_VAD_2023</v>
      </c>
      <c r="C4161" s="3" t="str">
        <f>HYPERLINK("https://otsuka-europe-crm.veevavault.com/ui/#object/sent_email__v/VBL00000001F348", "SE-001406027")</f>
        <v>SE-001406027</v>
      </c>
      <c r="D4161" s="4">
        <v>46078.327361111114</v>
      </c>
      <c r="E4161" s="5">
        <v>1</v>
      </c>
      <c r="F4161" s="5">
        <v>2</v>
      </c>
      <c r="G4161" s="5">
        <v>0</v>
      </c>
      <c r="H4161" s="4" t="s">
        <v>11</v>
      </c>
      <c r="I4161" s="5">
        <v>0</v>
      </c>
      <c r="J4161" s="4">
        <v>46077.620104166665</v>
      </c>
    </row>
    <row r="4162" spans="1:10" x14ac:dyDescent="0.2">
      <c r="A4162" s="2" t="s">
        <v>10</v>
      </c>
      <c r="B4162" s="3" t="str">
        <f t="shared" si="77"/>
        <v>INVITATION_VAD_2023</v>
      </c>
      <c r="C4162" s="3" t="str">
        <f>HYPERLINK("https://otsuka-europe-crm.veevavault.com/ui/#object/sent_email__v/VBL00000001G771", "SE-001406429")</f>
        <v>SE-001406429</v>
      </c>
      <c r="D4162" s="4">
        <v>46078.54446759259</v>
      </c>
      <c r="E4162" s="5">
        <v>1</v>
      </c>
      <c r="F4162" s="5">
        <v>1</v>
      </c>
      <c r="G4162" s="5">
        <v>0</v>
      </c>
      <c r="H4162" s="4" t="s">
        <v>11</v>
      </c>
      <c r="I4162" s="5">
        <v>0</v>
      </c>
      <c r="J4162" s="4">
        <v>46078.376620370371</v>
      </c>
    </row>
    <row r="4163" spans="1:10" x14ac:dyDescent="0.2">
      <c r="A4163" s="2" t="s">
        <v>10</v>
      </c>
      <c r="B4163" s="3" t="str">
        <f t="shared" si="77"/>
        <v>INVITATION_VAD_2023</v>
      </c>
      <c r="C4163" s="3" t="str">
        <f>HYPERLINK("https://otsuka-europe-crm.veevavault.com/ui/#object/sent_email__v/VBL00000001F519", "SE-001406505")</f>
        <v>SE-001406505</v>
      </c>
      <c r="D4163" s="4" t="s">
        <v>11</v>
      </c>
      <c r="E4163" s="5">
        <v>0</v>
      </c>
      <c r="F4163" s="5">
        <v>0</v>
      </c>
      <c r="G4163" s="5">
        <v>0</v>
      </c>
      <c r="H4163" s="4" t="s">
        <v>11</v>
      </c>
      <c r="I4163" s="5">
        <v>0</v>
      </c>
      <c r="J4163" s="4">
        <v>46078.396238425928</v>
      </c>
    </row>
    <row r="4164" spans="1:10" x14ac:dyDescent="0.2">
      <c r="A4164" s="2" t="s">
        <v>10</v>
      </c>
      <c r="B4164" s="3" t="str">
        <f t="shared" si="77"/>
        <v>INVITATION_VAD_2023</v>
      </c>
      <c r="C4164" s="3" t="str">
        <f>HYPERLINK("https://otsuka-europe-crm.veevavault.com/ui/#object/sent_email__v/VBL00000001F524", "SE-001406513")</f>
        <v>SE-001406513</v>
      </c>
      <c r="D4164" s="4" t="s">
        <v>11</v>
      </c>
      <c r="E4164" s="5">
        <v>0</v>
      </c>
      <c r="F4164" s="5">
        <v>0</v>
      </c>
      <c r="G4164" s="5">
        <v>0</v>
      </c>
      <c r="H4164" s="4" t="s">
        <v>11</v>
      </c>
      <c r="I4164" s="5">
        <v>0</v>
      </c>
      <c r="J4164" s="4">
        <v>46078.438530092593</v>
      </c>
    </row>
    <row r="4165" spans="1:10" x14ac:dyDescent="0.2">
      <c r="A4165" s="2" t="s">
        <v>10</v>
      </c>
      <c r="B4165" s="3" t="str">
        <f t="shared" si="77"/>
        <v>INVITATION_VAD_2023</v>
      </c>
      <c r="C4165" s="3" t="str">
        <f>HYPERLINK("https://otsuka-europe-crm.veevavault.com/ui/#object/sent_email__v/VBL00000001F553", "SE-001406557")</f>
        <v>SE-001406557</v>
      </c>
      <c r="D4165" s="4" t="s">
        <v>11</v>
      </c>
      <c r="E4165" s="5">
        <v>0</v>
      </c>
      <c r="F4165" s="5">
        <v>0</v>
      </c>
      <c r="G4165" s="5">
        <v>0</v>
      </c>
      <c r="H4165" s="4" t="s">
        <v>11</v>
      </c>
      <c r="I4165" s="5">
        <v>0</v>
      </c>
      <c r="J4165" s="4">
        <v>46078.562824074077</v>
      </c>
    </row>
    <row r="4166" spans="1:10" x14ac:dyDescent="0.2">
      <c r="A4166" s="2" t="s">
        <v>10</v>
      </c>
      <c r="B4166" s="3" t="str">
        <f t="shared" si="77"/>
        <v>INVITATION_VAD_2023</v>
      </c>
      <c r="C4166" s="3" t="str">
        <f>HYPERLINK("https://otsuka-europe-crm.veevavault.com/ui/#object/sent_email__v/VBL00000001F598", "SE-001406621")</f>
        <v>SE-001406621</v>
      </c>
      <c r="D4166" s="4">
        <v>46079.414398148147</v>
      </c>
      <c r="E4166" s="5">
        <v>1</v>
      </c>
      <c r="F4166" s="5">
        <v>1</v>
      </c>
      <c r="G4166" s="5">
        <v>0</v>
      </c>
      <c r="H4166" s="4" t="s">
        <v>11</v>
      </c>
      <c r="I4166" s="5">
        <v>0</v>
      </c>
      <c r="J4166" s="4">
        <v>46079.366851851853</v>
      </c>
    </row>
    <row r="4167" spans="1:10" x14ac:dyDescent="0.2">
      <c r="A4167" s="2" t="s">
        <v>10</v>
      </c>
      <c r="B4167" s="3" t="str">
        <f t="shared" ref="B4167:B4198" si="78">HYPERLINK("https://otsuka-europe-crm.veevavault.com/ui/#object/approved_document__v/V5O000000009007", "OPFS Double Opt in Email for Remote Meetings - Novembre 2025")</f>
        <v>OPFS Double Opt in Email for Remote Meetings - Novembre 2025</v>
      </c>
      <c r="C4167" s="3" t="str">
        <f>HYPERLINK("https://otsuka-europe-crm.veevavault.com/ui/#object/sent_email__v/VBL00000000Q243", "SE-001391442")</f>
        <v>SE-001391442</v>
      </c>
      <c r="D4167" s="4">
        <v>45985.534062500003</v>
      </c>
      <c r="E4167" s="5">
        <v>1</v>
      </c>
      <c r="F4167" s="5">
        <v>5</v>
      </c>
      <c r="G4167" s="5">
        <v>0</v>
      </c>
      <c r="H4167" s="4" t="s">
        <v>11</v>
      </c>
      <c r="I4167" s="5">
        <v>0</v>
      </c>
      <c r="J4167" s="4">
        <v>45981.705324074072</v>
      </c>
    </row>
    <row r="4168" spans="1:10" x14ac:dyDescent="0.2">
      <c r="A4168" s="2" t="s">
        <v>10</v>
      </c>
      <c r="B4168" s="3" t="str">
        <f t="shared" si="78"/>
        <v>OPFS Double Opt in Email for Remote Meetings - Novembre 2025</v>
      </c>
      <c r="C4168" s="3" t="str">
        <f>HYPERLINK("https://otsuka-europe-crm.veevavault.com/ui/#object/sent_email__v/VBL00000000Q280", "SE-001391531")</f>
        <v>SE-001391531</v>
      </c>
      <c r="D4168" s="4" t="s">
        <v>11</v>
      </c>
      <c r="E4168" s="5">
        <v>0</v>
      </c>
      <c r="F4168" s="5">
        <v>0</v>
      </c>
      <c r="G4168" s="5">
        <v>0</v>
      </c>
      <c r="H4168" s="4" t="s">
        <v>11</v>
      </c>
      <c r="I4168" s="5">
        <v>0</v>
      </c>
      <c r="J4168" s="4">
        <v>45982.480995370373</v>
      </c>
    </row>
    <row r="4169" spans="1:10" x14ac:dyDescent="0.2">
      <c r="A4169" s="2" t="s">
        <v>10</v>
      </c>
      <c r="B4169" s="3" t="str">
        <f t="shared" si="78"/>
        <v>OPFS Double Opt in Email for Remote Meetings - Novembre 2025</v>
      </c>
      <c r="C4169" s="3" t="str">
        <f>HYPERLINK("https://otsuka-europe-crm.veevavault.com/ui/#object/sent_email__v/VBL00000000R201", "SE-001391790")</f>
        <v>SE-001391790</v>
      </c>
      <c r="D4169" s="4" t="s">
        <v>11</v>
      </c>
      <c r="E4169" s="5">
        <v>0</v>
      </c>
      <c r="F4169" s="5">
        <v>0</v>
      </c>
      <c r="G4169" s="5">
        <v>0</v>
      </c>
      <c r="H4169" s="4" t="s">
        <v>11</v>
      </c>
      <c r="I4169" s="5">
        <v>0</v>
      </c>
      <c r="J4169" s="4">
        <v>45985.702245370368</v>
      </c>
    </row>
    <row r="4170" spans="1:10" x14ac:dyDescent="0.2">
      <c r="A4170" s="2" t="s">
        <v>10</v>
      </c>
      <c r="B4170" s="3" t="str">
        <f t="shared" si="78"/>
        <v>OPFS Double Opt in Email for Remote Meetings - Novembre 2025</v>
      </c>
      <c r="C4170" s="3" t="str">
        <f>HYPERLINK("https://otsuka-europe-crm.veevavault.com/ui/#object/sent_email__v/VBL000000013809", "SE-001399364")</f>
        <v>SE-001399364</v>
      </c>
      <c r="D4170" s="4" t="s">
        <v>11</v>
      </c>
      <c r="E4170" s="5">
        <v>0</v>
      </c>
      <c r="F4170" s="5">
        <v>0</v>
      </c>
      <c r="G4170" s="5">
        <v>0</v>
      </c>
      <c r="H4170" s="4" t="s">
        <v>11</v>
      </c>
      <c r="I4170" s="5">
        <v>0</v>
      </c>
      <c r="J4170" s="4">
        <v>46029.623865740738</v>
      </c>
    </row>
    <row r="4171" spans="1:10" x14ac:dyDescent="0.2">
      <c r="A4171" s="2" t="s">
        <v>10</v>
      </c>
      <c r="B4171" s="3" t="str">
        <f t="shared" si="78"/>
        <v>OPFS Double Opt in Email for Remote Meetings - Novembre 2025</v>
      </c>
      <c r="C4171" s="3" t="str">
        <f>HYPERLINK("https://otsuka-europe-crm.veevavault.com/ui/#object/sent_email__v/VBL000000012728", "SE-001399366")</f>
        <v>SE-001399366</v>
      </c>
      <c r="D4171" s="4" t="s">
        <v>11</v>
      </c>
      <c r="E4171" s="5">
        <v>0</v>
      </c>
      <c r="F4171" s="5">
        <v>0</v>
      </c>
      <c r="G4171" s="5">
        <v>0</v>
      </c>
      <c r="H4171" s="4" t="s">
        <v>11</v>
      </c>
      <c r="I4171" s="5">
        <v>0</v>
      </c>
      <c r="J4171" s="4">
        <v>46029.624374999999</v>
      </c>
    </row>
    <row r="4172" spans="1:10" x14ac:dyDescent="0.2">
      <c r="A4172" s="2" t="s">
        <v>10</v>
      </c>
      <c r="B4172" s="3" t="str">
        <f t="shared" si="78"/>
        <v>OPFS Double Opt in Email for Remote Meetings - Novembre 2025</v>
      </c>
      <c r="C4172" s="3" t="str">
        <f>HYPERLINK("https://otsuka-europe-crm.veevavault.com/ui/#object/sent_email__v/VBL000000013891", "SE-001399491")</f>
        <v>SE-001399491</v>
      </c>
      <c r="D4172" s="4">
        <v>46031.268530092595</v>
      </c>
      <c r="E4172" s="5">
        <v>1</v>
      </c>
      <c r="F4172" s="5">
        <v>2</v>
      </c>
      <c r="G4172" s="5">
        <v>0</v>
      </c>
      <c r="H4172" s="4" t="s">
        <v>11</v>
      </c>
      <c r="I4172" s="5">
        <v>0</v>
      </c>
      <c r="J4172" s="4">
        <v>46030.638333333336</v>
      </c>
    </row>
    <row r="4173" spans="1:10" x14ac:dyDescent="0.2">
      <c r="A4173" s="2" t="s">
        <v>10</v>
      </c>
      <c r="B4173" s="3" t="str">
        <f t="shared" si="78"/>
        <v>OPFS Double Opt in Email for Remote Meetings - Novembre 2025</v>
      </c>
      <c r="C4173" s="3" t="str">
        <f>HYPERLINK("https://otsuka-europe-crm.veevavault.com/ui/#object/sent_email__v/VBL00000001C317", "SE-001403590")</f>
        <v>SE-001403590</v>
      </c>
      <c r="D4173" s="4" t="s">
        <v>11</v>
      </c>
      <c r="E4173" s="5">
        <v>0</v>
      </c>
      <c r="F4173" s="5">
        <v>0</v>
      </c>
      <c r="G4173" s="5">
        <v>0</v>
      </c>
      <c r="H4173" s="4" t="s">
        <v>11</v>
      </c>
      <c r="I4173" s="5">
        <v>0</v>
      </c>
      <c r="J4173" s="4">
        <v>46063.361921296295</v>
      </c>
    </row>
    <row r="4174" spans="1:10" x14ac:dyDescent="0.2">
      <c r="A4174" s="2" t="s">
        <v>10</v>
      </c>
      <c r="B4174" s="3" t="str">
        <f t="shared" si="78"/>
        <v>OPFS Double Opt in Email for Remote Meetings - Novembre 2025</v>
      </c>
      <c r="C4174" s="3" t="str">
        <f>HYPERLINK("https://otsuka-europe-crm.veevavault.com/ui/#object/sent_email__v/VBL00000001C320", "SE-001403593")</f>
        <v>SE-001403593</v>
      </c>
      <c r="D4174" s="4" t="s">
        <v>11</v>
      </c>
      <c r="E4174" s="5">
        <v>0</v>
      </c>
      <c r="F4174" s="5">
        <v>0</v>
      </c>
      <c r="G4174" s="5">
        <v>0</v>
      </c>
      <c r="H4174" s="4" t="s">
        <v>11</v>
      </c>
      <c r="I4174" s="5">
        <v>0</v>
      </c>
      <c r="J4174" s="4">
        <v>46063.362233796295</v>
      </c>
    </row>
    <row r="4175" spans="1:10" x14ac:dyDescent="0.2">
      <c r="A4175" s="2" t="s">
        <v>10</v>
      </c>
      <c r="B4175" s="3" t="str">
        <f t="shared" si="78"/>
        <v>OPFS Double Opt in Email for Remote Meetings - Novembre 2025</v>
      </c>
      <c r="C4175" s="3" t="str">
        <f>HYPERLINK("https://otsuka-europe-crm.veevavault.com/ui/#object/sent_email__v/VBL00000001C323", "SE-001403596")</f>
        <v>SE-001403596</v>
      </c>
      <c r="D4175" s="4" t="s">
        <v>11</v>
      </c>
      <c r="E4175" s="5">
        <v>0</v>
      </c>
      <c r="F4175" s="5">
        <v>0</v>
      </c>
      <c r="G4175" s="5">
        <v>0</v>
      </c>
      <c r="H4175" s="4" t="s">
        <v>11</v>
      </c>
      <c r="I4175" s="5">
        <v>0</v>
      </c>
      <c r="J4175" s="4">
        <v>46063.362951388888</v>
      </c>
    </row>
    <row r="4176" spans="1:10" x14ac:dyDescent="0.2">
      <c r="A4176" s="2" t="s">
        <v>10</v>
      </c>
      <c r="B4176" s="3" t="str">
        <f t="shared" si="78"/>
        <v>OPFS Double Opt in Email for Remote Meetings - Novembre 2025</v>
      </c>
      <c r="C4176" s="3" t="str">
        <f>HYPERLINK("https://otsuka-europe-crm.veevavault.com/ui/#object/sent_email__v/VBL00000001B372", "SE-001403600")</f>
        <v>SE-001403600</v>
      </c>
      <c r="D4176" s="4" t="s">
        <v>11</v>
      </c>
      <c r="E4176" s="5">
        <v>0</v>
      </c>
      <c r="F4176" s="5">
        <v>0</v>
      </c>
      <c r="G4176" s="5">
        <v>0</v>
      </c>
      <c r="H4176" s="4" t="s">
        <v>11</v>
      </c>
      <c r="I4176" s="5">
        <v>0</v>
      </c>
      <c r="J4176" s="4">
        <v>46063.366539351853</v>
      </c>
    </row>
    <row r="4177" spans="1:10" x14ac:dyDescent="0.2">
      <c r="A4177" s="2" t="s">
        <v>10</v>
      </c>
      <c r="B4177" s="3" t="str">
        <f t="shared" si="78"/>
        <v>OPFS Double Opt in Email for Remote Meetings - Novembre 2025</v>
      </c>
      <c r="C4177" s="3" t="str">
        <f>HYPERLINK("https://otsuka-europe-crm.veevavault.com/ui/#object/sent_email__v/VBL00000001B375", "SE-001403603")</f>
        <v>SE-001403603</v>
      </c>
      <c r="D4177" s="4" t="s">
        <v>11</v>
      </c>
      <c r="E4177" s="5">
        <v>0</v>
      </c>
      <c r="F4177" s="5">
        <v>0</v>
      </c>
      <c r="G4177" s="5">
        <v>0</v>
      </c>
      <c r="H4177" s="4" t="s">
        <v>11</v>
      </c>
      <c r="I4177" s="5">
        <v>0</v>
      </c>
      <c r="J4177" s="4">
        <v>46063.36824074074</v>
      </c>
    </row>
    <row r="4178" spans="1:10" x14ac:dyDescent="0.2">
      <c r="A4178" s="2" t="s">
        <v>10</v>
      </c>
      <c r="B4178" s="3" t="str">
        <f t="shared" si="78"/>
        <v>OPFS Double Opt in Email for Remote Meetings - Novembre 2025</v>
      </c>
      <c r="C4178" s="3" t="str">
        <f>HYPERLINK("https://otsuka-europe-crm.veevavault.com/ui/#object/sent_email__v/VBL00000001B377", "SE-001403605")</f>
        <v>SE-001403605</v>
      </c>
      <c r="D4178" s="4">
        <v>46063.373796296299</v>
      </c>
      <c r="E4178" s="5">
        <v>1</v>
      </c>
      <c r="F4178" s="5">
        <v>3</v>
      </c>
      <c r="G4178" s="5">
        <v>0</v>
      </c>
      <c r="H4178" s="4" t="s">
        <v>11</v>
      </c>
      <c r="I4178" s="5">
        <v>0</v>
      </c>
      <c r="J4178" s="4">
        <v>46063.370023148149</v>
      </c>
    </row>
    <row r="4179" spans="1:10" x14ac:dyDescent="0.2">
      <c r="A4179" s="2" t="s">
        <v>10</v>
      </c>
      <c r="B4179" s="3" t="str">
        <f t="shared" si="78"/>
        <v>OPFS Double Opt in Email for Remote Meetings - Novembre 2025</v>
      </c>
      <c r="C4179" s="3" t="str">
        <f>HYPERLINK("https://otsuka-europe-crm.veevavault.com/ui/#object/sent_email__v/VBL00000001B379", "SE-001403607")</f>
        <v>SE-001403607</v>
      </c>
      <c r="D4179" s="4" t="s">
        <v>11</v>
      </c>
      <c r="E4179" s="5">
        <v>0</v>
      </c>
      <c r="F4179" s="5">
        <v>0</v>
      </c>
      <c r="G4179" s="5">
        <v>0</v>
      </c>
      <c r="H4179" s="4" t="s">
        <v>11</v>
      </c>
      <c r="I4179" s="5">
        <v>0</v>
      </c>
      <c r="J4179" s="4">
        <v>46063.371493055558</v>
      </c>
    </row>
    <row r="4180" spans="1:10" x14ac:dyDescent="0.2">
      <c r="A4180" s="2" t="s">
        <v>10</v>
      </c>
      <c r="B4180" s="3" t="str">
        <f t="shared" si="78"/>
        <v>OPFS Double Opt in Email for Remote Meetings - Novembre 2025</v>
      </c>
      <c r="C4180" s="3" t="str">
        <f>HYPERLINK("https://otsuka-europe-crm.veevavault.com/ui/#object/sent_email__v/VBL00000001B381", "SE-001403609")</f>
        <v>SE-001403609</v>
      </c>
      <c r="D4180" s="4">
        <v>46065.402303240742</v>
      </c>
      <c r="E4180" s="5">
        <v>1</v>
      </c>
      <c r="F4180" s="5">
        <v>2</v>
      </c>
      <c r="G4180" s="5">
        <v>1</v>
      </c>
      <c r="H4180" s="4">
        <v>46063.373148148145</v>
      </c>
      <c r="I4180" s="5">
        <v>1</v>
      </c>
      <c r="J4180" s="4">
        <v>46063.372881944444</v>
      </c>
    </row>
    <row r="4181" spans="1:10" x14ac:dyDescent="0.2">
      <c r="A4181" s="2" t="s">
        <v>10</v>
      </c>
      <c r="B4181" s="3" t="str">
        <f t="shared" si="78"/>
        <v>OPFS Double Opt in Email for Remote Meetings - Novembre 2025</v>
      </c>
      <c r="C4181" s="3" t="str">
        <f>HYPERLINK("https://otsuka-europe-crm.veevavault.com/ui/#object/sent_email__v/VBL00000001C326", "SE-001403611")</f>
        <v>SE-001403611</v>
      </c>
      <c r="D4181" s="4" t="s">
        <v>11</v>
      </c>
      <c r="E4181" s="5">
        <v>0</v>
      </c>
      <c r="F4181" s="5">
        <v>0</v>
      </c>
      <c r="G4181" s="5">
        <v>0</v>
      </c>
      <c r="H4181" s="4" t="s">
        <v>11</v>
      </c>
      <c r="I4181" s="5">
        <v>0</v>
      </c>
      <c r="J4181" s="4">
        <v>46063.374513888892</v>
      </c>
    </row>
    <row r="4182" spans="1:10" x14ac:dyDescent="0.2">
      <c r="A4182" s="2" t="s">
        <v>10</v>
      </c>
      <c r="B4182" s="3" t="str">
        <f t="shared" si="78"/>
        <v>OPFS Double Opt in Email for Remote Meetings - Novembre 2025</v>
      </c>
      <c r="C4182" s="3" t="str">
        <f>HYPERLINK("https://otsuka-europe-crm.veevavault.com/ui/#object/sent_email__v/VBL00000001C328", "SE-001403613")</f>
        <v>SE-001403613</v>
      </c>
      <c r="D4182" s="4" t="s">
        <v>11</v>
      </c>
      <c r="E4182" s="5">
        <v>0</v>
      </c>
      <c r="F4182" s="5">
        <v>0</v>
      </c>
      <c r="G4182" s="5">
        <v>0</v>
      </c>
      <c r="H4182" s="4" t="s">
        <v>11</v>
      </c>
      <c r="I4182" s="5">
        <v>0</v>
      </c>
      <c r="J4182" s="4">
        <v>46063.37572916667</v>
      </c>
    </row>
    <row r="4183" spans="1:10" x14ac:dyDescent="0.2">
      <c r="A4183" s="2" t="s">
        <v>10</v>
      </c>
      <c r="B4183" s="3" t="str">
        <f t="shared" si="78"/>
        <v>OPFS Double Opt in Email for Remote Meetings - Novembre 2025</v>
      </c>
      <c r="C4183" s="3" t="str">
        <f>HYPERLINK("https://otsuka-europe-crm.veevavault.com/ui/#object/sent_email__v/VBL00000001B383", "SE-001403617")</f>
        <v>SE-001403617</v>
      </c>
      <c r="D4183" s="4" t="s">
        <v>11</v>
      </c>
      <c r="E4183" s="5">
        <v>0</v>
      </c>
      <c r="F4183" s="5">
        <v>0</v>
      </c>
      <c r="G4183" s="5">
        <v>0</v>
      </c>
      <c r="H4183" s="4" t="s">
        <v>11</v>
      </c>
      <c r="I4183" s="5">
        <v>0</v>
      </c>
      <c r="J4183" s="4">
        <v>46063.37908564815</v>
      </c>
    </row>
    <row r="4184" spans="1:10" x14ac:dyDescent="0.2">
      <c r="A4184" s="2" t="s">
        <v>10</v>
      </c>
      <c r="B4184" s="3" t="str">
        <f t="shared" si="78"/>
        <v>OPFS Double Opt in Email for Remote Meetings - Novembre 2025</v>
      </c>
      <c r="C4184" s="3" t="str">
        <f>HYPERLINK("https://otsuka-europe-crm.veevavault.com/ui/#object/sent_email__v/VBL00000001B385", "SE-001403619")</f>
        <v>SE-001403619</v>
      </c>
      <c r="D4184" s="4" t="s">
        <v>11</v>
      </c>
      <c r="E4184" s="5">
        <v>0</v>
      </c>
      <c r="F4184" s="5">
        <v>0</v>
      </c>
      <c r="G4184" s="5">
        <v>0</v>
      </c>
      <c r="H4184" s="4" t="s">
        <v>11</v>
      </c>
      <c r="I4184" s="5">
        <v>0</v>
      </c>
      <c r="J4184" s="4">
        <v>46063.380486111113</v>
      </c>
    </row>
    <row r="4185" spans="1:10" x14ac:dyDescent="0.2">
      <c r="A4185" s="2" t="s">
        <v>10</v>
      </c>
      <c r="B4185" s="3" t="str">
        <f t="shared" si="78"/>
        <v>OPFS Double Opt in Email for Remote Meetings - Novembre 2025</v>
      </c>
      <c r="C4185" s="3" t="str">
        <f>HYPERLINK("https://otsuka-europe-crm.veevavault.com/ui/#object/sent_email__v/VBL00000001C332", "SE-001403621")</f>
        <v>SE-001403621</v>
      </c>
      <c r="D4185" s="4" t="s">
        <v>11</v>
      </c>
      <c r="E4185" s="5">
        <v>0</v>
      </c>
      <c r="F4185" s="5">
        <v>0</v>
      </c>
      <c r="G4185" s="5">
        <v>0</v>
      </c>
      <c r="H4185" s="4" t="s">
        <v>11</v>
      </c>
      <c r="I4185" s="5">
        <v>0</v>
      </c>
      <c r="J4185" s="4">
        <v>46063.382048611114</v>
      </c>
    </row>
    <row r="4186" spans="1:10" x14ac:dyDescent="0.2">
      <c r="A4186" s="2" t="s">
        <v>10</v>
      </c>
      <c r="B4186" s="3" t="str">
        <f t="shared" si="78"/>
        <v>OPFS Double Opt in Email for Remote Meetings - Novembre 2025</v>
      </c>
      <c r="C4186" s="3" t="str">
        <f>HYPERLINK("https://otsuka-europe-crm.veevavault.com/ui/#object/sent_email__v/VBL00000001C334", "SE-001403623")</f>
        <v>SE-001403623</v>
      </c>
      <c r="D4186" s="4">
        <v>46063.383773148147</v>
      </c>
      <c r="E4186" s="5">
        <v>1</v>
      </c>
      <c r="F4186" s="5">
        <v>1</v>
      </c>
      <c r="G4186" s="5">
        <v>0</v>
      </c>
      <c r="H4186" s="4" t="s">
        <v>11</v>
      </c>
      <c r="I4186" s="5">
        <v>0</v>
      </c>
      <c r="J4186" s="4">
        <v>46063.383391203701</v>
      </c>
    </row>
    <row r="4187" spans="1:10" x14ac:dyDescent="0.2">
      <c r="A4187" s="2" t="s">
        <v>10</v>
      </c>
      <c r="B4187" s="3" t="str">
        <f t="shared" si="78"/>
        <v>OPFS Double Opt in Email for Remote Meetings - Novembre 2025</v>
      </c>
      <c r="C4187" s="3" t="str">
        <f>HYPERLINK("https://otsuka-europe-crm.veevavault.com/ui/#object/sent_email__v/VBL00000001B387", "SE-001403626")</f>
        <v>SE-001403626</v>
      </c>
      <c r="D4187" s="4" t="s">
        <v>11</v>
      </c>
      <c r="E4187" s="5">
        <v>0</v>
      </c>
      <c r="F4187" s="5">
        <v>0</v>
      </c>
      <c r="G4187" s="5">
        <v>0</v>
      </c>
      <c r="H4187" s="4" t="s">
        <v>11</v>
      </c>
      <c r="I4187" s="5">
        <v>0</v>
      </c>
      <c r="J4187" s="4">
        <v>46063.385335648149</v>
      </c>
    </row>
    <row r="4188" spans="1:10" x14ac:dyDescent="0.2">
      <c r="A4188" s="2" t="s">
        <v>10</v>
      </c>
      <c r="B4188" s="3" t="str">
        <f t="shared" si="78"/>
        <v>OPFS Double Opt in Email for Remote Meetings - Novembre 2025</v>
      </c>
      <c r="C4188" s="3" t="str">
        <f>HYPERLINK("https://otsuka-europe-crm.veevavault.com/ui/#object/sent_email__v/VBL00000001B389", "SE-001403628")</f>
        <v>SE-001403628</v>
      </c>
      <c r="D4188" s="4" t="s">
        <v>11</v>
      </c>
      <c r="E4188" s="5">
        <v>0</v>
      </c>
      <c r="F4188" s="5">
        <v>0</v>
      </c>
      <c r="G4188" s="5">
        <v>0</v>
      </c>
      <c r="H4188" s="4" t="s">
        <v>11</v>
      </c>
      <c r="I4188" s="5">
        <v>0</v>
      </c>
      <c r="J4188" s="4">
        <v>46063.387106481481</v>
      </c>
    </row>
    <row r="4189" spans="1:10" x14ac:dyDescent="0.2">
      <c r="A4189" s="2" t="s">
        <v>10</v>
      </c>
      <c r="B4189" s="3" t="str">
        <f t="shared" si="78"/>
        <v>OPFS Double Opt in Email for Remote Meetings - Novembre 2025</v>
      </c>
      <c r="C4189" s="3" t="str">
        <f>HYPERLINK("https://otsuka-europe-crm.veevavault.com/ui/#object/sent_email__v/VBL00000001C337", "SE-001403631")</f>
        <v>SE-001403631</v>
      </c>
      <c r="D4189" s="4" t="s">
        <v>11</v>
      </c>
      <c r="E4189" s="5">
        <v>0</v>
      </c>
      <c r="F4189" s="5">
        <v>0</v>
      </c>
      <c r="G4189" s="5">
        <v>0</v>
      </c>
      <c r="H4189" s="4" t="s">
        <v>11</v>
      </c>
      <c r="I4189" s="5">
        <v>0</v>
      </c>
      <c r="J4189" s="4">
        <v>46063.395868055559</v>
      </c>
    </row>
    <row r="4190" spans="1:10" x14ac:dyDescent="0.2">
      <c r="A4190" s="2" t="s">
        <v>10</v>
      </c>
      <c r="B4190" s="3" t="str">
        <f t="shared" si="78"/>
        <v>OPFS Double Opt in Email for Remote Meetings - Novembre 2025</v>
      </c>
      <c r="C4190" s="3" t="str">
        <f>HYPERLINK("https://otsuka-europe-crm.veevavault.com/ui/#object/sent_email__v/VBL00000001C340", "SE-001403634")</f>
        <v>SE-001403634</v>
      </c>
      <c r="D4190" s="4">
        <v>46064.720497685186</v>
      </c>
      <c r="E4190" s="5">
        <v>1</v>
      </c>
      <c r="F4190" s="5">
        <v>7</v>
      </c>
      <c r="G4190" s="5">
        <v>0</v>
      </c>
      <c r="H4190" s="4" t="s">
        <v>11</v>
      </c>
      <c r="I4190" s="5">
        <v>0</v>
      </c>
      <c r="J4190" s="4">
        <v>46063.403900462959</v>
      </c>
    </row>
    <row r="4191" spans="1:10" x14ac:dyDescent="0.2">
      <c r="A4191" s="2" t="s">
        <v>10</v>
      </c>
      <c r="B4191" s="3" t="str">
        <f t="shared" si="78"/>
        <v>OPFS Double Opt in Email for Remote Meetings - Novembre 2025</v>
      </c>
      <c r="C4191" s="3" t="str">
        <f>HYPERLINK("https://otsuka-europe-crm.veevavault.com/ui/#object/sent_email__v/VBL00000001B393", "SE-001403637")</f>
        <v>SE-001403637</v>
      </c>
      <c r="D4191" s="4">
        <v>46063.407141203701</v>
      </c>
      <c r="E4191" s="5">
        <v>1</v>
      </c>
      <c r="F4191" s="5">
        <v>1</v>
      </c>
      <c r="G4191" s="5">
        <v>1</v>
      </c>
      <c r="H4191" s="4">
        <v>46063.407766203702</v>
      </c>
      <c r="I4191" s="5">
        <v>1</v>
      </c>
      <c r="J4191" s="4">
        <v>46063.4062962963</v>
      </c>
    </row>
    <row r="4192" spans="1:10" x14ac:dyDescent="0.2">
      <c r="A4192" s="2" t="s">
        <v>10</v>
      </c>
      <c r="B4192" s="3" t="str">
        <f t="shared" si="78"/>
        <v>OPFS Double Opt in Email for Remote Meetings - Novembre 2025</v>
      </c>
      <c r="C4192" s="3" t="str">
        <f>HYPERLINK("https://otsuka-europe-crm.veevavault.com/ui/#object/sent_email__v/VBL00000001B416", "SE-001403667")</f>
        <v>SE-001403667</v>
      </c>
      <c r="D4192" s="4" t="s">
        <v>11</v>
      </c>
      <c r="E4192" s="5">
        <v>0</v>
      </c>
      <c r="F4192" s="5">
        <v>0</v>
      </c>
      <c r="G4192" s="5">
        <v>0</v>
      </c>
      <c r="H4192" s="4" t="s">
        <v>11</v>
      </c>
      <c r="I4192" s="5">
        <v>0</v>
      </c>
      <c r="J4192" s="4">
        <v>46063.851157407407</v>
      </c>
    </row>
    <row r="4193" spans="1:10" x14ac:dyDescent="0.2">
      <c r="A4193" s="2" t="s">
        <v>10</v>
      </c>
      <c r="B4193" s="3" t="str">
        <f t="shared" si="78"/>
        <v>OPFS Double Opt in Email for Remote Meetings - Novembre 2025</v>
      </c>
      <c r="C4193" s="3" t="str">
        <f>HYPERLINK("https://otsuka-europe-crm.veevavault.com/ui/#object/sent_email__v/VBL00000001B492", "SE-001403823")</f>
        <v>SE-001403823</v>
      </c>
      <c r="D4193" s="4" t="s">
        <v>11</v>
      </c>
      <c r="E4193" s="5">
        <v>0</v>
      </c>
      <c r="F4193" s="5">
        <v>0</v>
      </c>
      <c r="G4193" s="5">
        <v>0</v>
      </c>
      <c r="H4193" s="4" t="s">
        <v>11</v>
      </c>
      <c r="I4193" s="5">
        <v>0</v>
      </c>
      <c r="J4193" s="4">
        <v>46065.383622685185</v>
      </c>
    </row>
    <row r="4194" spans="1:10" x14ac:dyDescent="0.2">
      <c r="A4194" s="2" t="s">
        <v>10</v>
      </c>
      <c r="B4194" s="3" t="str">
        <f t="shared" si="78"/>
        <v>OPFS Double Opt in Email for Remote Meetings - Novembre 2025</v>
      </c>
      <c r="C4194" s="3" t="str">
        <f>HYPERLINK("https://otsuka-europe-crm.veevavault.com/ui/#object/sent_email__v/VBL00000001D054", "SE-001404132")</f>
        <v>SE-001404132</v>
      </c>
      <c r="D4194" s="4">
        <v>46070.352673611109</v>
      </c>
      <c r="E4194" s="5">
        <v>1</v>
      </c>
      <c r="F4194" s="5">
        <v>1</v>
      </c>
      <c r="G4194" s="5">
        <v>0</v>
      </c>
      <c r="H4194" s="4" t="s">
        <v>11</v>
      </c>
      <c r="I4194" s="5">
        <v>0</v>
      </c>
      <c r="J4194" s="4">
        <v>46069.459803240738</v>
      </c>
    </row>
    <row r="4195" spans="1:10" x14ac:dyDescent="0.2">
      <c r="A4195" s="2" t="s">
        <v>10</v>
      </c>
      <c r="B4195" s="3" t="str">
        <f t="shared" si="78"/>
        <v>OPFS Double Opt in Email for Remote Meetings - Novembre 2025</v>
      </c>
      <c r="C4195" s="3" t="str">
        <f>HYPERLINK("https://otsuka-europe-crm.veevavault.com/ui/#object/sent_email__v/VBL00000001D056", "SE-001404134")</f>
        <v>SE-001404134</v>
      </c>
      <c r="D4195" s="4" t="s">
        <v>11</v>
      </c>
      <c r="E4195" s="5">
        <v>0</v>
      </c>
      <c r="F4195" s="5">
        <v>0</v>
      </c>
      <c r="G4195" s="5">
        <v>0</v>
      </c>
      <c r="H4195" s="4" t="s">
        <v>11</v>
      </c>
      <c r="I4195" s="5">
        <v>0</v>
      </c>
      <c r="J4195" s="4">
        <v>46069.461863425924</v>
      </c>
    </row>
    <row r="4196" spans="1:10" x14ac:dyDescent="0.2">
      <c r="A4196" s="2" t="s">
        <v>10</v>
      </c>
      <c r="B4196" s="3" t="str">
        <f t="shared" si="78"/>
        <v>OPFS Double Opt in Email for Remote Meetings - Novembre 2025</v>
      </c>
      <c r="C4196" s="3" t="str">
        <f>HYPERLINK("https://otsuka-europe-crm.veevavault.com/ui/#object/sent_email__v/VBL00000001D058", "SE-001404136")</f>
        <v>SE-001404136</v>
      </c>
      <c r="D4196" s="4" t="s">
        <v>11</v>
      </c>
      <c r="E4196" s="5">
        <v>0</v>
      </c>
      <c r="F4196" s="5">
        <v>0</v>
      </c>
      <c r="G4196" s="5">
        <v>0</v>
      </c>
      <c r="H4196" s="4" t="s">
        <v>11</v>
      </c>
      <c r="I4196" s="5">
        <v>0</v>
      </c>
      <c r="J4196" s="4">
        <v>46069.463020833333</v>
      </c>
    </row>
    <row r="4197" spans="1:10" x14ac:dyDescent="0.2">
      <c r="A4197" s="2" t="s">
        <v>10</v>
      </c>
      <c r="B4197" s="3" t="str">
        <f t="shared" si="78"/>
        <v>OPFS Double Opt in Email for Remote Meetings - Novembre 2025</v>
      </c>
      <c r="C4197" s="3" t="str">
        <f>HYPERLINK("https://otsuka-europe-crm.veevavault.com/ui/#object/sent_email__v/VBL00000001D061", "SE-001404139")</f>
        <v>SE-001404139</v>
      </c>
      <c r="D4197" s="4">
        <v>46077.896192129629</v>
      </c>
      <c r="E4197" s="5">
        <v>1</v>
      </c>
      <c r="F4197" s="5">
        <v>2</v>
      </c>
      <c r="G4197" s="5">
        <v>0</v>
      </c>
      <c r="H4197" s="4" t="s">
        <v>11</v>
      </c>
      <c r="I4197" s="5">
        <v>0</v>
      </c>
      <c r="J4197" s="4">
        <v>46069.464907407404</v>
      </c>
    </row>
    <row r="4198" spans="1:10" x14ac:dyDescent="0.2">
      <c r="A4198" s="2" t="s">
        <v>10</v>
      </c>
      <c r="B4198" s="3" t="str">
        <f t="shared" si="78"/>
        <v>OPFS Double Opt in Email for Remote Meetings - Novembre 2025</v>
      </c>
      <c r="C4198" s="3" t="str">
        <f>HYPERLINK("https://otsuka-europe-crm.veevavault.com/ui/#object/sent_email__v/VBL00000001D063", "SE-001404141")</f>
        <v>SE-001404141</v>
      </c>
      <c r="D4198" s="4" t="s">
        <v>11</v>
      </c>
      <c r="E4198" s="5">
        <v>0</v>
      </c>
      <c r="F4198" s="5">
        <v>0</v>
      </c>
      <c r="G4198" s="5">
        <v>0</v>
      </c>
      <c r="H4198" s="4" t="s">
        <v>11</v>
      </c>
      <c r="I4198" s="5">
        <v>0</v>
      </c>
      <c r="J4198" s="4">
        <v>46069.466249999998</v>
      </c>
    </row>
    <row r="4199" spans="1:10" x14ac:dyDescent="0.2">
      <c r="A4199" s="2" t="s">
        <v>10</v>
      </c>
      <c r="B4199" s="3" t="str">
        <f>HYPERLINK("https://otsuka-europe-crm.veevavault.com/ui/#object/approved_document__v/V5O000000009005", "OPFS Double Opt in Email for SMS - Novembre 2025")</f>
        <v>OPFS Double Opt in Email for SMS - Novembre 2025</v>
      </c>
      <c r="C4199" s="3" t="str">
        <f>HYPERLINK("https://otsuka-europe-crm.veevavault.com/ui/#object/sent_email__v/VBL00000001C318", "SE-001403591")</f>
        <v>SE-001403591</v>
      </c>
      <c r="D4199" s="4" t="s">
        <v>11</v>
      </c>
      <c r="E4199" s="5">
        <v>0</v>
      </c>
      <c r="F4199" s="5">
        <v>0</v>
      </c>
      <c r="G4199" s="5">
        <v>0</v>
      </c>
      <c r="H4199" s="4" t="s">
        <v>11</v>
      </c>
      <c r="I4199" s="5">
        <v>0</v>
      </c>
      <c r="J4199" s="4">
        <v>46063.361967592595</v>
      </c>
    </row>
    <row r="4200" spans="1:10" x14ac:dyDescent="0.2">
      <c r="A4200" s="2" t="s">
        <v>10</v>
      </c>
      <c r="B4200" s="3" t="str">
        <f>HYPERLINK("https://otsuka-europe-crm.veevavault.com/ui/#object/approved_document__v/V5O000000009005", "OPFS Double Opt in Email for SMS - Novembre 2025")</f>
        <v>OPFS Double Opt in Email for SMS - Novembre 2025</v>
      </c>
      <c r="C4200" s="3" t="str">
        <f>HYPERLINK("https://otsuka-europe-crm.veevavault.com/ui/#object/sent_email__v/VBL00000001C321", "SE-001403594")</f>
        <v>SE-001403594</v>
      </c>
      <c r="D4200" s="4" t="s">
        <v>11</v>
      </c>
      <c r="E4200" s="5">
        <v>0</v>
      </c>
      <c r="F4200" s="5">
        <v>0</v>
      </c>
      <c r="G4200" s="5">
        <v>0</v>
      </c>
      <c r="H4200" s="4" t="s">
        <v>11</v>
      </c>
      <c r="I4200" s="5">
        <v>0</v>
      </c>
      <c r="J4200" s="4">
        <v>46063.362291666665</v>
      </c>
    </row>
    <row r="4201" spans="1:10" x14ac:dyDescent="0.2">
      <c r="A4201" s="2" t="s">
        <v>10</v>
      </c>
      <c r="B4201" s="3" t="str">
        <f t="shared" ref="B4201:B4213" si="79">HYPERLINK("https://otsuka-europe-crm.veevavault.com/ui/#object/approved_document__v/V5OZ025E82LNZEG", "Remerciement RP ""Perspective(s)""")</f>
        <v>Remerciement RP "Perspective(s)"</v>
      </c>
      <c r="C4201" s="3" t="str">
        <f>HYPERLINK("https://otsuka-europe-crm.veevavault.com/ui/#object/sent_email__v/VBLZ025E82GLHC5", "SE-000256003")</f>
        <v>SE-000256003</v>
      </c>
      <c r="D4201" s="4" t="s">
        <v>11</v>
      </c>
      <c r="E4201" s="5">
        <v>0</v>
      </c>
      <c r="F4201" s="5">
        <v>0</v>
      </c>
      <c r="G4201" s="5">
        <v>0</v>
      </c>
      <c r="H4201" s="4" t="s">
        <v>11</v>
      </c>
      <c r="I4201" s="5">
        <v>0</v>
      </c>
      <c r="J4201" s="4">
        <v>45911.755370370367</v>
      </c>
    </row>
    <row r="4202" spans="1:10" x14ac:dyDescent="0.2">
      <c r="A4202" s="2" t="s">
        <v>10</v>
      </c>
      <c r="B4202" s="3" t="str">
        <f t="shared" si="79"/>
        <v>Remerciement RP "Perspective(s)"</v>
      </c>
      <c r="C4202" s="3" t="str">
        <f>HYPERLINK("https://otsuka-europe-crm.veevavault.com/ui/#object/sent_email__v/VBLZ025E82GULI1", "SE-000277387")</f>
        <v>SE-000277387</v>
      </c>
      <c r="D4202" s="4" t="s">
        <v>11</v>
      </c>
      <c r="E4202" s="5">
        <v>0</v>
      </c>
      <c r="F4202" s="5">
        <v>0</v>
      </c>
      <c r="G4202" s="5">
        <v>0</v>
      </c>
      <c r="H4202" s="4" t="s">
        <v>11</v>
      </c>
      <c r="I4202" s="5">
        <v>0</v>
      </c>
      <c r="J4202" s="4">
        <v>45919.563518518517</v>
      </c>
    </row>
    <row r="4203" spans="1:10" x14ac:dyDescent="0.2">
      <c r="A4203" s="2" t="s">
        <v>10</v>
      </c>
      <c r="B4203" s="3" t="str">
        <f t="shared" si="79"/>
        <v>Remerciement RP "Perspective(s)"</v>
      </c>
      <c r="C4203" s="3" t="str">
        <f>HYPERLINK("https://otsuka-europe-crm.veevavault.com/ui/#object/sent_email__v/VBLZ025E82GULNL", "SE-000277388")</f>
        <v>SE-000277388</v>
      </c>
      <c r="D4203" s="4">
        <v>45975.462847222225</v>
      </c>
      <c r="E4203" s="5">
        <v>1</v>
      </c>
      <c r="F4203" s="5">
        <v>7</v>
      </c>
      <c r="G4203" s="5">
        <v>0</v>
      </c>
      <c r="H4203" s="4" t="s">
        <v>11</v>
      </c>
      <c r="I4203" s="5">
        <v>0</v>
      </c>
      <c r="J4203" s="4">
        <v>45919.564201388886</v>
      </c>
    </row>
    <row r="4204" spans="1:10" x14ac:dyDescent="0.2">
      <c r="A4204" s="2" t="s">
        <v>10</v>
      </c>
      <c r="B4204" s="3" t="str">
        <f t="shared" si="79"/>
        <v>Remerciement RP "Perspective(s)"</v>
      </c>
      <c r="C4204" s="3" t="str">
        <f>HYPERLINK("https://otsuka-europe-crm.veevavault.com/ui/#object/sent_email__v/VBLZ025E82GULT5", "SE-000277389")</f>
        <v>SE-000277389</v>
      </c>
      <c r="D4204" s="4" t="s">
        <v>11</v>
      </c>
      <c r="E4204" s="5">
        <v>0</v>
      </c>
      <c r="F4204" s="5">
        <v>0</v>
      </c>
      <c r="G4204" s="5">
        <v>0</v>
      </c>
      <c r="H4204" s="4" t="s">
        <v>11</v>
      </c>
      <c r="I4204" s="5">
        <v>0</v>
      </c>
      <c r="J4204" s="4">
        <v>45919.564756944441</v>
      </c>
    </row>
    <row r="4205" spans="1:10" x14ac:dyDescent="0.2">
      <c r="A4205" s="2" t="s">
        <v>10</v>
      </c>
      <c r="B4205" s="3" t="str">
        <f t="shared" si="79"/>
        <v>Remerciement RP "Perspective(s)"</v>
      </c>
      <c r="C4205" s="3" t="str">
        <f>HYPERLINK("https://otsuka-europe-crm.veevavault.com/ui/#object/sent_email__v/VBLZ025E82GUM1H", "SE-000277425")</f>
        <v>SE-000277425</v>
      </c>
      <c r="D4205" s="4" t="s">
        <v>11</v>
      </c>
      <c r="E4205" s="5">
        <v>0</v>
      </c>
      <c r="F4205" s="5">
        <v>0</v>
      </c>
      <c r="G4205" s="5">
        <v>0</v>
      </c>
      <c r="H4205" s="4" t="s">
        <v>11</v>
      </c>
      <c r="I4205" s="5">
        <v>0</v>
      </c>
      <c r="J4205" s="4">
        <v>45919.566064814811</v>
      </c>
    </row>
    <row r="4206" spans="1:10" x14ac:dyDescent="0.2">
      <c r="A4206" s="2" t="s">
        <v>10</v>
      </c>
      <c r="B4206" s="3" t="str">
        <f t="shared" si="79"/>
        <v>Remerciement RP "Perspective(s)"</v>
      </c>
      <c r="C4206" s="3" t="str">
        <f>HYPERLINK("https://otsuka-europe-crm.veevavault.com/ui/#object/sent_email__v/VBLZ025E82GUM49", "SE-000277426")</f>
        <v>SE-000277426</v>
      </c>
      <c r="D4206" s="4">
        <v>45922.351458333331</v>
      </c>
      <c r="E4206" s="5">
        <v>1</v>
      </c>
      <c r="F4206" s="5">
        <v>2</v>
      </c>
      <c r="G4206" s="5">
        <v>0</v>
      </c>
      <c r="H4206" s="4" t="s">
        <v>11</v>
      </c>
      <c r="I4206" s="5">
        <v>0</v>
      </c>
      <c r="J4206" s="4">
        <v>45919.566990740743</v>
      </c>
    </row>
    <row r="4207" spans="1:10" x14ac:dyDescent="0.2">
      <c r="A4207" s="2" t="s">
        <v>10</v>
      </c>
      <c r="B4207" s="3" t="str">
        <f t="shared" si="79"/>
        <v>Remerciement RP "Perspective(s)"</v>
      </c>
      <c r="C4207" s="3" t="str">
        <f>HYPERLINK("https://otsuka-europe-crm.veevavault.com/ui/#object/sent_email__v/VBLZ025E82HDL7X", "SE-000284389")</f>
        <v>SE-000284389</v>
      </c>
      <c r="D4207" s="4" t="s">
        <v>11</v>
      </c>
      <c r="E4207" s="5">
        <v>0</v>
      </c>
      <c r="F4207" s="5">
        <v>0</v>
      </c>
      <c r="G4207" s="5">
        <v>0</v>
      </c>
      <c r="H4207" s="4" t="s">
        <v>11</v>
      </c>
      <c r="I4207" s="5">
        <v>0</v>
      </c>
      <c r="J4207" s="4">
        <v>45937.597696759258</v>
      </c>
    </row>
    <row r="4208" spans="1:10" x14ac:dyDescent="0.2">
      <c r="A4208" s="2" t="s">
        <v>10</v>
      </c>
      <c r="B4208" s="3" t="str">
        <f t="shared" si="79"/>
        <v>Remerciement RP "Perspective(s)"</v>
      </c>
      <c r="C4208" s="3" t="str">
        <f>HYPERLINK("https://otsuka-europe-crm.veevavault.com/ui/#object/sent_email__v/VBLZ025E82HH0AH", "SE-000286294")</f>
        <v>SE-000286294</v>
      </c>
      <c r="D4208" s="4">
        <v>45944.221087962964</v>
      </c>
      <c r="E4208" s="5">
        <v>1</v>
      </c>
      <c r="F4208" s="5">
        <v>2</v>
      </c>
      <c r="G4208" s="5">
        <v>0</v>
      </c>
      <c r="H4208" s="4" t="s">
        <v>11</v>
      </c>
      <c r="I4208" s="5">
        <v>0</v>
      </c>
      <c r="J4208" s="4">
        <v>45940.278240740743</v>
      </c>
    </row>
    <row r="4209" spans="1:10" x14ac:dyDescent="0.2">
      <c r="A4209" s="2" t="s">
        <v>10</v>
      </c>
      <c r="B4209" s="3" t="str">
        <f t="shared" si="79"/>
        <v>Remerciement RP "Perspective(s)"</v>
      </c>
      <c r="C4209" s="3" t="str">
        <f>HYPERLINK("https://otsuka-europe-crm.veevavault.com/ui/#object/sent_email__v/VBLZ025E82HH0D9", "SE-000286295")</f>
        <v>SE-000286295</v>
      </c>
      <c r="D4209" s="4" t="s">
        <v>11</v>
      </c>
      <c r="E4209" s="5">
        <v>0</v>
      </c>
      <c r="F4209" s="5">
        <v>0</v>
      </c>
      <c r="G4209" s="5">
        <v>0</v>
      </c>
      <c r="H4209" s="4" t="s">
        <v>11</v>
      </c>
      <c r="I4209" s="5">
        <v>0</v>
      </c>
      <c r="J4209" s="4">
        <v>45940.279189814813</v>
      </c>
    </row>
    <row r="4210" spans="1:10" x14ac:dyDescent="0.2">
      <c r="A4210" s="2" t="s">
        <v>10</v>
      </c>
      <c r="B4210" s="3" t="str">
        <f t="shared" si="79"/>
        <v>Remerciement RP "Perspective(s)"</v>
      </c>
      <c r="C4210" s="3" t="str">
        <f>HYPERLINK("https://otsuka-europe-crm.veevavault.com/ui/#object/sent_email__v/VBLZ025E82HHV8F", "SE-000286551")</f>
        <v>SE-000286551</v>
      </c>
      <c r="D4210" s="4">
        <v>45943.489259259259</v>
      </c>
      <c r="E4210" s="5">
        <v>1</v>
      </c>
      <c r="F4210" s="5">
        <v>1</v>
      </c>
      <c r="G4210" s="5">
        <v>0</v>
      </c>
      <c r="H4210" s="4" t="s">
        <v>11</v>
      </c>
      <c r="I4210" s="5">
        <v>0</v>
      </c>
      <c r="J4210" s="4">
        <v>45940.741215277776</v>
      </c>
    </row>
    <row r="4211" spans="1:10" x14ac:dyDescent="0.2">
      <c r="A4211" s="2" t="s">
        <v>10</v>
      </c>
      <c r="B4211" s="3" t="str">
        <f t="shared" si="79"/>
        <v>Remerciement RP "Perspective(s)"</v>
      </c>
      <c r="C4211" s="3" t="str">
        <f>HYPERLINK("https://otsuka-europe-crm.veevavault.com/ui/#object/sent_email__v/VBLZ025E82HHX09", "SE-000286552")</f>
        <v>SE-000286552</v>
      </c>
      <c r="D4211" s="4">
        <v>45943.361828703702</v>
      </c>
      <c r="E4211" s="5">
        <v>1</v>
      </c>
      <c r="F4211" s="5">
        <v>4</v>
      </c>
      <c r="G4211" s="5">
        <v>0</v>
      </c>
      <c r="H4211" s="4" t="s">
        <v>11</v>
      </c>
      <c r="I4211" s="5">
        <v>0</v>
      </c>
      <c r="J4211" s="4">
        <v>45940.741898148146</v>
      </c>
    </row>
    <row r="4212" spans="1:10" x14ac:dyDescent="0.2">
      <c r="A4212" s="2" t="s">
        <v>10</v>
      </c>
      <c r="B4212" s="3" t="str">
        <f t="shared" si="79"/>
        <v>Remerciement RP "Perspective(s)"</v>
      </c>
      <c r="C4212" s="3" t="str">
        <f>HYPERLINK("https://otsuka-europe-crm.veevavault.com/ui/#object/sent_email__v/VBLZ025E82HLPCL", "SE-000287848")</f>
        <v>SE-000287848</v>
      </c>
      <c r="D4212" s="4">
        <v>45951.484398148146</v>
      </c>
      <c r="E4212" s="5">
        <v>1</v>
      </c>
      <c r="F4212" s="5">
        <v>2</v>
      </c>
      <c r="G4212" s="5">
        <v>1</v>
      </c>
      <c r="H4212" s="4">
        <v>45951.484780092593</v>
      </c>
      <c r="I4212" s="5">
        <v>5</v>
      </c>
      <c r="J4212" s="4">
        <v>45945.729548611111</v>
      </c>
    </row>
    <row r="4213" spans="1:10" x14ac:dyDescent="0.2">
      <c r="A4213" s="2" t="s">
        <v>10</v>
      </c>
      <c r="B4213" s="3" t="str">
        <f t="shared" si="79"/>
        <v>Remerciement RP "Perspective(s)"</v>
      </c>
      <c r="C4213" s="3" t="str">
        <f>HYPERLINK("https://otsuka-europe-crm.veevavault.com/ui/#object/sent_email__v/VBLZ025E82HLPKX", "SE-000287850")</f>
        <v>SE-000287850</v>
      </c>
      <c r="D4213" s="4">
        <v>45946.504131944443</v>
      </c>
      <c r="E4213" s="5">
        <v>1</v>
      </c>
      <c r="F4213" s="5">
        <v>2</v>
      </c>
      <c r="G4213" s="5">
        <v>0</v>
      </c>
      <c r="H4213" s="4" t="s">
        <v>11</v>
      </c>
      <c r="I4213" s="5">
        <v>0</v>
      </c>
      <c r="J4213" s="4">
        <v>45945.747824074075</v>
      </c>
    </row>
    <row r="4214" spans="1:10" x14ac:dyDescent="0.2">
      <c r="A4214" s="2" t="s">
        <v>10</v>
      </c>
      <c r="B4214" s="3" t="str">
        <f t="shared" ref="B4214:B4277" si="80">HYPERLINK("https://otsuka-europe-crm.veevavault.com/ui/#object/approved_document__v/V5OZ04ASG4G02Y7", "REMERCIEMENTS_VAD_2023")</f>
        <v>REMERCIEMENTS_VAD_2023</v>
      </c>
      <c r="C4214" s="3" t="str">
        <f>HYPERLINK("https://otsuka-europe-crm.veevavault.com/ui/#object/sent_email__v/VBLZ025E82GHQ89", "SE-000255533")</f>
        <v>SE-000255533</v>
      </c>
      <c r="D4214" s="4">
        <v>45908.800034722219</v>
      </c>
      <c r="E4214" s="5">
        <v>1</v>
      </c>
      <c r="F4214" s="5">
        <v>1</v>
      </c>
      <c r="G4214" s="5">
        <v>0</v>
      </c>
      <c r="H4214" s="4" t="s">
        <v>11</v>
      </c>
      <c r="I4214" s="5">
        <v>0</v>
      </c>
      <c r="J4214" s="4">
        <v>45908.608136574076</v>
      </c>
    </row>
    <row r="4215" spans="1:10" x14ac:dyDescent="0.2">
      <c r="A4215" s="2" t="s">
        <v>10</v>
      </c>
      <c r="B4215" s="3" t="str">
        <f t="shared" si="80"/>
        <v>REMERCIEMENTS_VAD_2023</v>
      </c>
      <c r="C4215" s="3" t="str">
        <f>HYPERLINK("https://otsuka-europe-crm.veevavault.com/ui/#object/sent_email__v/VBLZ025E82GIS9P", "SE-000255624")</f>
        <v>SE-000255624</v>
      </c>
      <c r="D4215" s="4" t="s">
        <v>11</v>
      </c>
      <c r="E4215" s="5">
        <v>0</v>
      </c>
      <c r="F4215" s="5">
        <v>0</v>
      </c>
      <c r="G4215" s="5">
        <v>0</v>
      </c>
      <c r="H4215" s="4" t="s">
        <v>11</v>
      </c>
      <c r="I4215" s="5">
        <v>0</v>
      </c>
      <c r="J4215" s="4">
        <v>45909.560937499999</v>
      </c>
    </row>
    <row r="4216" spans="1:10" x14ac:dyDescent="0.2">
      <c r="A4216" s="2" t="s">
        <v>10</v>
      </c>
      <c r="B4216" s="3" t="str">
        <f t="shared" si="80"/>
        <v>REMERCIEMENTS_VAD_2023</v>
      </c>
      <c r="C4216" s="3" t="str">
        <f>HYPERLINK("https://otsuka-europe-crm.veevavault.com/ui/#object/sent_email__v/VBLZ025E82GJJ75", "SE-000255679")</f>
        <v>SE-000255679</v>
      </c>
      <c r="D4216" s="4">
        <v>45910.509699074071</v>
      </c>
      <c r="E4216" s="5">
        <v>1</v>
      </c>
      <c r="F4216" s="5">
        <v>1</v>
      </c>
      <c r="G4216" s="5">
        <v>0</v>
      </c>
      <c r="H4216" s="4" t="s">
        <v>11</v>
      </c>
      <c r="I4216" s="5">
        <v>0</v>
      </c>
      <c r="J4216" s="4">
        <v>45910.382800925923</v>
      </c>
    </row>
    <row r="4217" spans="1:10" x14ac:dyDescent="0.2">
      <c r="A4217" s="2" t="s">
        <v>10</v>
      </c>
      <c r="B4217" s="3" t="str">
        <f t="shared" si="80"/>
        <v>REMERCIEMENTS_VAD_2023</v>
      </c>
      <c r="C4217" s="3" t="str">
        <f>HYPERLINK("https://otsuka-europe-crm.veevavault.com/ui/#object/sent_email__v/VBLZ025E82GK6I1", "SE-000255712")</f>
        <v>SE-000255712</v>
      </c>
      <c r="D4217" s="4">
        <v>45910.703460648147</v>
      </c>
      <c r="E4217" s="5">
        <v>1</v>
      </c>
      <c r="F4217" s="5">
        <v>2</v>
      </c>
      <c r="G4217" s="5">
        <v>0</v>
      </c>
      <c r="H4217" s="4" t="s">
        <v>11</v>
      </c>
      <c r="I4217" s="5">
        <v>0</v>
      </c>
      <c r="J4217" s="4">
        <v>45910.678796296299</v>
      </c>
    </row>
    <row r="4218" spans="1:10" x14ac:dyDescent="0.2">
      <c r="A4218" s="2" t="s">
        <v>10</v>
      </c>
      <c r="B4218" s="3" t="str">
        <f t="shared" si="80"/>
        <v>REMERCIEMENTS_VAD_2023</v>
      </c>
      <c r="C4218" s="3" t="str">
        <f>HYPERLINK("https://otsuka-europe-crm.veevavault.com/ui/#object/sent_email__v/VBLZ025E82GKB7H", "SE-000255755")</f>
        <v>SE-000255755</v>
      </c>
      <c r="D4218" s="4" t="s">
        <v>11</v>
      </c>
      <c r="E4218" s="5">
        <v>0</v>
      </c>
      <c r="F4218" s="5">
        <v>0</v>
      </c>
      <c r="G4218" s="5">
        <v>0</v>
      </c>
      <c r="H4218" s="4" t="s">
        <v>11</v>
      </c>
      <c r="I4218" s="5">
        <v>0</v>
      </c>
      <c r="J4218" s="4">
        <v>45910.836064814815</v>
      </c>
    </row>
    <row r="4219" spans="1:10" x14ac:dyDescent="0.2">
      <c r="A4219" s="2" t="s">
        <v>10</v>
      </c>
      <c r="B4219" s="3" t="str">
        <f t="shared" si="80"/>
        <v>REMERCIEMENTS_VAD_2023</v>
      </c>
      <c r="C4219" s="3" t="str">
        <f>HYPERLINK("https://otsuka-europe-crm.veevavault.com/ui/#object/sent_email__v/VBLZ025E82GKRPY", "SE-000255805")</f>
        <v>SE-000255805</v>
      </c>
      <c r="D4219" s="4">
        <v>45911.524768518517</v>
      </c>
      <c r="E4219" s="5">
        <v>1</v>
      </c>
      <c r="F4219" s="5">
        <v>1</v>
      </c>
      <c r="G4219" s="5">
        <v>0</v>
      </c>
      <c r="H4219" s="4" t="s">
        <v>11</v>
      </c>
      <c r="I4219" s="5">
        <v>0</v>
      </c>
      <c r="J4219" s="4">
        <v>45911.457638888889</v>
      </c>
    </row>
    <row r="4220" spans="1:10" x14ac:dyDescent="0.2">
      <c r="A4220" s="2" t="s">
        <v>10</v>
      </c>
      <c r="B4220" s="3" t="str">
        <f t="shared" si="80"/>
        <v>REMERCIEMENTS_VAD_2023</v>
      </c>
      <c r="C4220" s="3" t="str">
        <f>HYPERLINK("https://otsuka-europe-crm.veevavault.com/ui/#object/sent_email__v/VBLZ025E82GKVCH", "SE-000255833")</f>
        <v>SE-000255833</v>
      </c>
      <c r="D4220" s="4">
        <v>45911.479675925926</v>
      </c>
      <c r="E4220" s="5">
        <v>1</v>
      </c>
      <c r="F4220" s="5">
        <v>1</v>
      </c>
      <c r="G4220" s="5">
        <v>0</v>
      </c>
      <c r="H4220" s="4" t="s">
        <v>11</v>
      </c>
      <c r="I4220" s="5">
        <v>0</v>
      </c>
      <c r="J4220" s="4">
        <v>45911.47693287037</v>
      </c>
    </row>
    <row r="4221" spans="1:10" x14ac:dyDescent="0.2">
      <c r="A4221" s="2" t="s">
        <v>10</v>
      </c>
      <c r="B4221" s="3" t="str">
        <f t="shared" si="80"/>
        <v>REMERCIEMENTS_VAD_2023</v>
      </c>
      <c r="C4221" s="3" t="str">
        <f>HYPERLINK("https://otsuka-europe-crm.veevavault.com/ui/#object/sent_email__v/VBLZ025E82GL0D1", "SE-000255840")</f>
        <v>SE-000255840</v>
      </c>
      <c r="D4221" s="4">
        <v>45911.539768518516</v>
      </c>
      <c r="E4221" s="5">
        <v>1</v>
      </c>
      <c r="F4221" s="5">
        <v>1</v>
      </c>
      <c r="G4221" s="5">
        <v>0</v>
      </c>
      <c r="H4221" s="4" t="s">
        <v>11</v>
      </c>
      <c r="I4221" s="5">
        <v>0</v>
      </c>
      <c r="J4221" s="4">
        <v>45911.538854166669</v>
      </c>
    </row>
    <row r="4222" spans="1:10" x14ac:dyDescent="0.2">
      <c r="A4222" s="2" t="s">
        <v>10</v>
      </c>
      <c r="B4222" s="3" t="str">
        <f t="shared" si="80"/>
        <v>REMERCIEMENTS_VAD_2023</v>
      </c>
      <c r="C4222" s="3" t="str">
        <f>HYPERLINK("https://otsuka-europe-crm.veevavault.com/ui/#object/sent_email__v/VBLZ025E82GL2TX", "SE-000255960")</f>
        <v>SE-000255960</v>
      </c>
      <c r="D4222" s="4" t="s">
        <v>11</v>
      </c>
      <c r="E4222" s="5">
        <v>0</v>
      </c>
      <c r="F4222" s="5">
        <v>0</v>
      </c>
      <c r="G4222" s="5">
        <v>0</v>
      </c>
      <c r="H4222" s="4" t="s">
        <v>11</v>
      </c>
      <c r="I4222" s="5">
        <v>0</v>
      </c>
      <c r="J4222" s="4">
        <v>45911.583749999998</v>
      </c>
    </row>
    <row r="4223" spans="1:10" x14ac:dyDescent="0.2">
      <c r="A4223" s="2" t="s">
        <v>10</v>
      </c>
      <c r="B4223" s="3" t="str">
        <f t="shared" si="80"/>
        <v>REMERCIEMENTS_VAD_2023</v>
      </c>
      <c r="C4223" s="3" t="str">
        <f>HYPERLINK("https://otsuka-europe-crm.veevavault.com/ui/#object/sent_email__v/VBLZ025E82GLA5T", "SE-000255985")</f>
        <v>SE-000255985</v>
      </c>
      <c r="D4223" s="4">
        <v>45911.684293981481</v>
      </c>
      <c r="E4223" s="5">
        <v>1</v>
      </c>
      <c r="F4223" s="5">
        <v>2</v>
      </c>
      <c r="G4223" s="5">
        <v>0</v>
      </c>
      <c r="H4223" s="4" t="s">
        <v>11</v>
      </c>
      <c r="I4223" s="5">
        <v>0</v>
      </c>
      <c r="J4223" s="4">
        <v>45911.645868055559</v>
      </c>
    </row>
    <row r="4224" spans="1:10" x14ac:dyDescent="0.2">
      <c r="A4224" s="2" t="s">
        <v>10</v>
      </c>
      <c r="B4224" s="3" t="str">
        <f t="shared" si="80"/>
        <v>REMERCIEMENTS_VAD_2023</v>
      </c>
      <c r="C4224" s="3" t="str">
        <f>HYPERLINK("https://otsuka-europe-crm.veevavault.com/ui/#object/sent_email__v/VBLZ025E82GLL9T", "SE-000256008")</f>
        <v>SE-000256008</v>
      </c>
      <c r="D4224" s="4" t="s">
        <v>11</v>
      </c>
      <c r="E4224" s="5">
        <v>0</v>
      </c>
      <c r="F4224" s="5">
        <v>0</v>
      </c>
      <c r="G4224" s="5">
        <v>0</v>
      </c>
      <c r="H4224" s="4" t="s">
        <v>11</v>
      </c>
      <c r="I4224" s="5">
        <v>0</v>
      </c>
      <c r="J4224" s="4">
        <v>45912.345671296294</v>
      </c>
    </row>
    <row r="4225" spans="1:10" x14ac:dyDescent="0.2">
      <c r="A4225" s="2" t="s">
        <v>10</v>
      </c>
      <c r="B4225" s="3" t="str">
        <f t="shared" si="80"/>
        <v>REMERCIEMENTS_VAD_2023</v>
      </c>
      <c r="C4225" s="3" t="str">
        <f>HYPERLINK("https://otsuka-europe-crm.veevavault.com/ui/#object/sent_email__v/VBLZ025E82GLLCL", "SE-000256009")</f>
        <v>SE-000256009</v>
      </c>
      <c r="D4225" s="4" t="s">
        <v>11</v>
      </c>
      <c r="E4225" s="5">
        <v>0</v>
      </c>
      <c r="F4225" s="5">
        <v>0</v>
      </c>
      <c r="G4225" s="5">
        <v>0</v>
      </c>
      <c r="H4225" s="4" t="s">
        <v>11</v>
      </c>
      <c r="I4225" s="5">
        <v>0</v>
      </c>
      <c r="J4225" s="4">
        <v>45912.345925925925</v>
      </c>
    </row>
    <row r="4226" spans="1:10" x14ac:dyDescent="0.2">
      <c r="A4226" s="2" t="s">
        <v>10</v>
      </c>
      <c r="B4226" s="3" t="str">
        <f t="shared" si="80"/>
        <v>REMERCIEMENTS_VAD_2023</v>
      </c>
      <c r="C4226" s="3" t="str">
        <f>HYPERLINK("https://otsuka-europe-crm.veevavault.com/ui/#object/sent_email__v/VBLZ025E82GNT4T", "SE-000275477")</f>
        <v>SE-000275477</v>
      </c>
      <c r="D4226" s="4" t="s">
        <v>11</v>
      </c>
      <c r="E4226" s="5">
        <v>0</v>
      </c>
      <c r="F4226" s="5">
        <v>0</v>
      </c>
      <c r="G4226" s="5">
        <v>0</v>
      </c>
      <c r="H4226" s="4" t="s">
        <v>11</v>
      </c>
      <c r="I4226" s="5">
        <v>0</v>
      </c>
      <c r="J4226" s="4">
        <v>45915.436562499999</v>
      </c>
    </row>
    <row r="4227" spans="1:10" x14ac:dyDescent="0.2">
      <c r="A4227" s="2" t="s">
        <v>10</v>
      </c>
      <c r="B4227" s="3" t="str">
        <f t="shared" si="80"/>
        <v>REMERCIEMENTS_VAD_2023</v>
      </c>
      <c r="C4227" s="3" t="str">
        <f>HYPERLINK("https://otsuka-europe-crm.veevavault.com/ui/#object/sent_email__v/VBLZ025E82GOCQD", "SE-000275584")</f>
        <v>SE-000275584</v>
      </c>
      <c r="D4227" s="4" t="s">
        <v>11</v>
      </c>
      <c r="E4227" s="5">
        <v>0</v>
      </c>
      <c r="F4227" s="5">
        <v>0</v>
      </c>
      <c r="G4227" s="5">
        <v>0</v>
      </c>
      <c r="H4227" s="4" t="s">
        <v>11</v>
      </c>
      <c r="I4227" s="5">
        <v>0</v>
      </c>
      <c r="J4227" s="4">
        <v>45915.571284722224</v>
      </c>
    </row>
    <row r="4228" spans="1:10" x14ac:dyDescent="0.2">
      <c r="A4228" s="2" t="s">
        <v>10</v>
      </c>
      <c r="B4228" s="3" t="str">
        <f t="shared" si="80"/>
        <v>REMERCIEMENTS_VAD_2023</v>
      </c>
      <c r="C4228" s="3" t="str">
        <f>HYPERLINK("https://otsuka-europe-crm.veevavault.com/ui/#object/sent_email__v/VBLZ025E82GPOC9", "SE-000275666")</f>
        <v>SE-000275666</v>
      </c>
      <c r="D4228" s="4">
        <v>45916.549571759257</v>
      </c>
      <c r="E4228" s="5">
        <v>1</v>
      </c>
      <c r="F4228" s="5">
        <v>1</v>
      </c>
      <c r="G4228" s="5">
        <v>1</v>
      </c>
      <c r="H4228" s="4">
        <v>45916.549571759257</v>
      </c>
      <c r="I4228" s="5">
        <v>1</v>
      </c>
      <c r="J4228" s="4">
        <v>45916.549537037034</v>
      </c>
    </row>
    <row r="4229" spans="1:10" x14ac:dyDescent="0.2">
      <c r="A4229" s="2" t="s">
        <v>10</v>
      </c>
      <c r="B4229" s="3" t="str">
        <f t="shared" si="80"/>
        <v>REMERCIEMENTS_VAD_2023</v>
      </c>
      <c r="C4229" s="3" t="str">
        <f>HYPERLINK("https://otsuka-europe-crm.veevavault.com/ui/#object/sent_email__v/VBLZ025E82GPOF1", "SE-000275667")</f>
        <v>SE-000275667</v>
      </c>
      <c r="D4229" s="4">
        <v>45920.483344907407</v>
      </c>
      <c r="E4229" s="5">
        <v>1</v>
      </c>
      <c r="F4229" s="5">
        <v>1</v>
      </c>
      <c r="G4229" s="5">
        <v>0</v>
      </c>
      <c r="H4229" s="4" t="s">
        <v>11</v>
      </c>
      <c r="I4229" s="5">
        <v>0</v>
      </c>
      <c r="J4229" s="4">
        <v>45916.550254629627</v>
      </c>
    </row>
    <row r="4230" spans="1:10" x14ac:dyDescent="0.2">
      <c r="A4230" s="2" t="s">
        <v>10</v>
      </c>
      <c r="B4230" s="3" t="str">
        <f t="shared" si="80"/>
        <v>REMERCIEMENTS_VAD_2023</v>
      </c>
      <c r="C4230" s="3" t="str">
        <f>HYPERLINK("https://otsuka-europe-crm.veevavault.com/ui/#object/sent_email__v/VBLZ025E82GQOOL", "SE-000275752")</f>
        <v>SE-000275752</v>
      </c>
      <c r="D4230" s="4" t="s">
        <v>11</v>
      </c>
      <c r="E4230" s="5">
        <v>0</v>
      </c>
      <c r="F4230" s="5">
        <v>0</v>
      </c>
      <c r="G4230" s="5">
        <v>0</v>
      </c>
      <c r="H4230" s="4" t="s">
        <v>11</v>
      </c>
      <c r="I4230" s="5">
        <v>0</v>
      </c>
      <c r="J4230" s="4">
        <v>45917.368344907409</v>
      </c>
    </row>
    <row r="4231" spans="1:10" x14ac:dyDescent="0.2">
      <c r="A4231" s="2" t="s">
        <v>10</v>
      </c>
      <c r="B4231" s="3" t="str">
        <f t="shared" si="80"/>
        <v>REMERCIEMENTS_VAD_2023</v>
      </c>
      <c r="C4231" s="3" t="str">
        <f>HYPERLINK("https://otsuka-europe-crm.veevavault.com/ui/#object/sent_email__v/VBLZ025E82GR03P", "SE-000275837")</f>
        <v>SE-000275837</v>
      </c>
      <c r="D4231" s="4" t="s">
        <v>11</v>
      </c>
      <c r="E4231" s="5">
        <v>0</v>
      </c>
      <c r="F4231" s="5">
        <v>0</v>
      </c>
      <c r="G4231" s="5">
        <v>0</v>
      </c>
      <c r="H4231" s="4" t="s">
        <v>11</v>
      </c>
      <c r="I4231" s="5">
        <v>0</v>
      </c>
      <c r="J4231" s="4">
        <v>45917.417187500003</v>
      </c>
    </row>
    <row r="4232" spans="1:10" x14ac:dyDescent="0.2">
      <c r="A4232" s="2" t="s">
        <v>10</v>
      </c>
      <c r="B4232" s="3" t="str">
        <f t="shared" si="80"/>
        <v>REMERCIEMENTS_VAD_2023</v>
      </c>
      <c r="C4232" s="3" t="str">
        <f>HYPERLINK("https://otsuka-europe-crm.veevavault.com/ui/#object/sent_email__v/VBLZ025E82GRNEL", "SE-000275953")</f>
        <v>SE-000275953</v>
      </c>
      <c r="D4232" s="4">
        <v>45917.647256944445</v>
      </c>
      <c r="E4232" s="5">
        <v>1</v>
      </c>
      <c r="F4232" s="5">
        <v>1</v>
      </c>
      <c r="G4232" s="5">
        <v>0</v>
      </c>
      <c r="H4232" s="4" t="s">
        <v>11</v>
      </c>
      <c r="I4232" s="5">
        <v>0</v>
      </c>
      <c r="J4232" s="4">
        <v>45917.609178240738</v>
      </c>
    </row>
    <row r="4233" spans="1:10" x14ac:dyDescent="0.2">
      <c r="A4233" s="2" t="s">
        <v>10</v>
      </c>
      <c r="B4233" s="3" t="str">
        <f t="shared" si="80"/>
        <v>REMERCIEMENTS_VAD_2023</v>
      </c>
      <c r="C4233" s="3" t="str">
        <f>HYPERLINK("https://otsuka-europe-crm.veevavault.com/ui/#object/sent_email__v/VBLZ025E82GT5YH", "SE-000276672")</f>
        <v>SE-000276672</v>
      </c>
      <c r="D4233" s="4">
        <v>45923.816400462965</v>
      </c>
      <c r="E4233" s="5">
        <v>1</v>
      </c>
      <c r="F4233" s="5">
        <v>1</v>
      </c>
      <c r="G4233" s="5">
        <v>0</v>
      </c>
      <c r="H4233" s="4" t="s">
        <v>11</v>
      </c>
      <c r="I4233" s="5">
        <v>0</v>
      </c>
      <c r="J4233" s="4">
        <v>45918.549814814818</v>
      </c>
    </row>
    <row r="4234" spans="1:10" x14ac:dyDescent="0.2">
      <c r="A4234" s="2" t="s">
        <v>10</v>
      </c>
      <c r="B4234" s="3" t="str">
        <f t="shared" si="80"/>
        <v>REMERCIEMENTS_VAD_2023</v>
      </c>
      <c r="C4234" s="3" t="str">
        <f>HYPERLINK("https://otsuka-europe-crm.veevavault.com/ui/#object/sent_email__v/VBLZ025E82GUFEL", "SE-000277194")</f>
        <v>SE-000277194</v>
      </c>
      <c r="D4234" s="4">
        <v>45919.534016203703</v>
      </c>
      <c r="E4234" s="5">
        <v>1</v>
      </c>
      <c r="F4234" s="5">
        <v>1</v>
      </c>
      <c r="G4234" s="5">
        <v>0</v>
      </c>
      <c r="H4234" s="4" t="s">
        <v>11</v>
      </c>
      <c r="I4234" s="5">
        <v>0</v>
      </c>
      <c r="J4234" s="4">
        <v>45919.494189814817</v>
      </c>
    </row>
    <row r="4235" spans="1:10" x14ac:dyDescent="0.2">
      <c r="A4235" s="2" t="s">
        <v>10</v>
      </c>
      <c r="B4235" s="3" t="str">
        <f t="shared" si="80"/>
        <v>REMERCIEMENTS_VAD_2023</v>
      </c>
      <c r="C4235" s="3" t="str">
        <f>HYPERLINK("https://otsuka-europe-crm.veevavault.com/ui/#object/sent_email__v/VBLZ025E82GUHPX", "SE-000277207")</f>
        <v>SE-000277207</v>
      </c>
      <c r="D4235" s="4" t="s">
        <v>11</v>
      </c>
      <c r="E4235" s="5">
        <v>0</v>
      </c>
      <c r="F4235" s="5">
        <v>0</v>
      </c>
      <c r="G4235" s="5">
        <v>0</v>
      </c>
      <c r="H4235" s="4" t="s">
        <v>11</v>
      </c>
      <c r="I4235" s="5">
        <v>0</v>
      </c>
      <c r="J4235" s="4">
        <v>45919.520370370374</v>
      </c>
    </row>
    <row r="4236" spans="1:10" x14ac:dyDescent="0.2">
      <c r="A4236" s="2" t="s">
        <v>10</v>
      </c>
      <c r="B4236" s="3" t="str">
        <f t="shared" si="80"/>
        <v>REMERCIEMENTS_VAD_2023</v>
      </c>
      <c r="C4236" s="3" t="str">
        <f>HYPERLINK("https://otsuka-europe-crm.veevavault.com/ui/#object/sent_email__v/VBLZ025E82GUL6X", "SE-000277339")</f>
        <v>SE-000277339</v>
      </c>
      <c r="D4236" s="4" t="s">
        <v>11</v>
      </c>
      <c r="E4236" s="5">
        <v>0</v>
      </c>
      <c r="F4236" s="5">
        <v>0</v>
      </c>
      <c r="G4236" s="5">
        <v>0</v>
      </c>
      <c r="H4236" s="4" t="s">
        <v>11</v>
      </c>
      <c r="I4236" s="5">
        <v>0</v>
      </c>
      <c r="J4236" s="4">
        <v>45919.560590277775</v>
      </c>
    </row>
    <row r="4237" spans="1:10" x14ac:dyDescent="0.2">
      <c r="A4237" s="2" t="s">
        <v>10</v>
      </c>
      <c r="B4237" s="3" t="str">
        <f t="shared" si="80"/>
        <v>REMERCIEMENTS_VAD_2023</v>
      </c>
      <c r="C4237" s="3" t="str">
        <f>HYPERLINK("https://otsuka-europe-crm.veevavault.com/ui/#object/sent_email__v/VBLZ025E82GVNP1", "SE-000279476")</f>
        <v>SE-000279476</v>
      </c>
      <c r="D4237" s="4" t="s">
        <v>11</v>
      </c>
      <c r="E4237" s="5">
        <v>0</v>
      </c>
      <c r="F4237" s="5">
        <v>0</v>
      </c>
      <c r="G4237" s="5">
        <v>0</v>
      </c>
      <c r="H4237" s="4" t="s">
        <v>11</v>
      </c>
      <c r="I4237" s="5">
        <v>0</v>
      </c>
      <c r="J4237" s="4">
        <v>45922.390370370369</v>
      </c>
    </row>
    <row r="4238" spans="1:10" x14ac:dyDescent="0.2">
      <c r="A4238" s="2" t="s">
        <v>10</v>
      </c>
      <c r="B4238" s="3" t="str">
        <f t="shared" si="80"/>
        <v>REMERCIEMENTS_VAD_2023</v>
      </c>
      <c r="C4238" s="3" t="str">
        <f>HYPERLINK("https://otsuka-europe-crm.veevavault.com/ui/#object/sent_email__v/VBLZ025E82GW2A1", "SE-000279619")</f>
        <v>SE-000279619</v>
      </c>
      <c r="D4238" s="4" t="s">
        <v>11</v>
      </c>
      <c r="E4238" s="5">
        <v>0</v>
      </c>
      <c r="F4238" s="5">
        <v>0</v>
      </c>
      <c r="G4238" s="5">
        <v>0</v>
      </c>
      <c r="H4238" s="4" t="s">
        <v>11</v>
      </c>
      <c r="I4238" s="5">
        <v>0</v>
      </c>
      <c r="J4238" s="4">
        <v>45922.539583333331</v>
      </c>
    </row>
    <row r="4239" spans="1:10" x14ac:dyDescent="0.2">
      <c r="A4239" s="2" t="s">
        <v>10</v>
      </c>
      <c r="B4239" s="3" t="str">
        <f t="shared" si="80"/>
        <v>REMERCIEMENTS_VAD_2023</v>
      </c>
      <c r="C4239" s="3" t="str">
        <f>HYPERLINK("https://otsuka-europe-crm.veevavault.com/ui/#object/sent_email__v/VBLZ025E82GXXHH", "SE-000280255")</f>
        <v>SE-000280255</v>
      </c>
      <c r="D4239" s="4">
        <v>45924.30740740741</v>
      </c>
      <c r="E4239" s="5">
        <v>1</v>
      </c>
      <c r="F4239" s="5">
        <v>2</v>
      </c>
      <c r="G4239" s="5">
        <v>0</v>
      </c>
      <c r="H4239" s="4" t="s">
        <v>11</v>
      </c>
      <c r="I4239" s="5">
        <v>0</v>
      </c>
      <c r="J4239" s="4">
        <v>45923.661157407405</v>
      </c>
    </row>
    <row r="4240" spans="1:10" x14ac:dyDescent="0.2">
      <c r="A4240" s="2" t="s">
        <v>10</v>
      </c>
      <c r="B4240" s="3" t="str">
        <f t="shared" si="80"/>
        <v>REMERCIEMENTS_VAD_2023</v>
      </c>
      <c r="C4240" s="3" t="str">
        <f>HYPERLINK("https://otsuka-europe-crm.veevavault.com/ui/#object/sent_email__v/VBLZ025E82GY9AH", "SE-000280383")</f>
        <v>SE-000280383</v>
      </c>
      <c r="D4240" s="4">
        <v>45924.436041666668</v>
      </c>
      <c r="E4240" s="5">
        <v>1</v>
      </c>
      <c r="F4240" s="5">
        <v>1</v>
      </c>
      <c r="G4240" s="5">
        <v>1</v>
      </c>
      <c r="H4240" s="4">
        <v>45924.436041666668</v>
      </c>
      <c r="I4240" s="5">
        <v>1</v>
      </c>
      <c r="J4240" s="4">
        <v>45924.401446759257</v>
      </c>
    </row>
    <row r="4241" spans="1:10" x14ac:dyDescent="0.2">
      <c r="A4241" s="2" t="s">
        <v>10</v>
      </c>
      <c r="B4241" s="3" t="str">
        <f t="shared" si="80"/>
        <v>REMERCIEMENTS_VAD_2023</v>
      </c>
      <c r="C4241" s="3" t="str">
        <f>HYPERLINK("https://otsuka-europe-crm.veevavault.com/ui/#object/sent_email__v/VBLZ025E82GYGRX", "SE-000280394")</f>
        <v>SE-000280394</v>
      </c>
      <c r="D4241" s="4">
        <v>45925.581979166665</v>
      </c>
      <c r="E4241" s="5">
        <v>1</v>
      </c>
      <c r="F4241" s="5">
        <v>4</v>
      </c>
      <c r="G4241" s="5">
        <v>0</v>
      </c>
      <c r="H4241" s="4" t="s">
        <v>11</v>
      </c>
      <c r="I4241" s="5">
        <v>0</v>
      </c>
      <c r="J4241" s="4">
        <v>45924.482037037036</v>
      </c>
    </row>
    <row r="4242" spans="1:10" x14ac:dyDescent="0.2">
      <c r="A4242" s="2" t="s">
        <v>10</v>
      </c>
      <c r="B4242" s="3" t="str">
        <f t="shared" si="80"/>
        <v>REMERCIEMENTS_VAD_2023</v>
      </c>
      <c r="C4242" s="3" t="str">
        <f>HYPERLINK("https://otsuka-europe-crm.veevavault.com/ui/#object/sent_email__v/VBLZ025E82GYHP9", "SE-000280396")</f>
        <v>SE-000280396</v>
      </c>
      <c r="D4242" s="4">
        <v>45924.487245370372</v>
      </c>
      <c r="E4242" s="5">
        <v>1</v>
      </c>
      <c r="F4242" s="5">
        <v>2</v>
      </c>
      <c r="G4242" s="5">
        <v>1</v>
      </c>
      <c r="H4242" s="4">
        <v>45924.487245370372</v>
      </c>
      <c r="I4242" s="5">
        <v>2</v>
      </c>
      <c r="J4242" s="4">
        <v>45924.487118055556</v>
      </c>
    </row>
    <row r="4243" spans="1:10" x14ac:dyDescent="0.2">
      <c r="A4243" s="2" t="s">
        <v>10</v>
      </c>
      <c r="B4243" s="3" t="str">
        <f t="shared" si="80"/>
        <v>REMERCIEMENTS_VAD_2023</v>
      </c>
      <c r="C4243" s="3" t="str">
        <f>HYPERLINK("https://otsuka-europe-crm.veevavault.com/ui/#object/sent_email__v/VBLZ025E82GYHS1", "SE-000280397")</f>
        <v>SE-000280397</v>
      </c>
      <c r="D4243" s="4">
        <v>45924.487488425926</v>
      </c>
      <c r="E4243" s="5">
        <v>1</v>
      </c>
      <c r="F4243" s="5">
        <v>2</v>
      </c>
      <c r="G4243" s="5">
        <v>1</v>
      </c>
      <c r="H4243" s="4">
        <v>45924.487488425926</v>
      </c>
      <c r="I4243" s="5">
        <v>2</v>
      </c>
      <c r="J4243" s="4">
        <v>45924.487314814818</v>
      </c>
    </row>
    <row r="4244" spans="1:10" x14ac:dyDescent="0.2">
      <c r="A4244" s="2" t="s">
        <v>10</v>
      </c>
      <c r="B4244" s="3" t="str">
        <f t="shared" si="80"/>
        <v>REMERCIEMENTS_VAD_2023</v>
      </c>
      <c r="C4244" s="3" t="str">
        <f>HYPERLINK("https://otsuka-europe-crm.veevavault.com/ui/#object/sent_email__v/VBLZ025E82H0N0L", "SE-000280833")</f>
        <v>SE-000280833</v>
      </c>
      <c r="D4244" s="4" t="s">
        <v>11</v>
      </c>
      <c r="E4244" s="5">
        <v>0</v>
      </c>
      <c r="F4244" s="5">
        <v>0</v>
      </c>
      <c r="G4244" s="5">
        <v>0</v>
      </c>
      <c r="H4244" s="4" t="s">
        <v>11</v>
      </c>
      <c r="I4244" s="5">
        <v>0</v>
      </c>
      <c r="J4244" s="4">
        <v>45925.64607638889</v>
      </c>
    </row>
    <row r="4245" spans="1:10" x14ac:dyDescent="0.2">
      <c r="A4245" s="2" t="s">
        <v>10</v>
      </c>
      <c r="B4245" s="3" t="str">
        <f t="shared" si="80"/>
        <v>REMERCIEMENTS_VAD_2023</v>
      </c>
      <c r="C4245" s="3" t="str">
        <f>HYPERLINK("https://otsuka-europe-crm.veevavault.com/ui/#object/sent_email__v/VBLZ025E82H1EN1", "SE-000281042")</f>
        <v>SE-000281042</v>
      </c>
      <c r="D4245" s="4" t="s">
        <v>11</v>
      </c>
      <c r="E4245" s="5">
        <v>0</v>
      </c>
      <c r="F4245" s="5">
        <v>0</v>
      </c>
      <c r="G4245" s="5">
        <v>0</v>
      </c>
      <c r="H4245" s="4" t="s">
        <v>11</v>
      </c>
      <c r="I4245" s="5">
        <v>0</v>
      </c>
      <c r="J4245" s="4">
        <v>45926.455474537041</v>
      </c>
    </row>
    <row r="4246" spans="1:10" x14ac:dyDescent="0.2">
      <c r="A4246" s="2" t="s">
        <v>10</v>
      </c>
      <c r="B4246" s="3" t="str">
        <f t="shared" si="80"/>
        <v>REMERCIEMENTS_VAD_2023</v>
      </c>
      <c r="C4246" s="3" t="str">
        <f>HYPERLINK("https://otsuka-europe-crm.veevavault.com/ui/#object/sent_email__v/VBLZ025E82H1S2D", "SE-000281419")</f>
        <v>SE-000281419</v>
      </c>
      <c r="D4246" s="4">
        <v>45926.586944444447</v>
      </c>
      <c r="E4246" s="5">
        <v>1</v>
      </c>
      <c r="F4246" s="5">
        <v>1</v>
      </c>
      <c r="G4246" s="5">
        <v>0</v>
      </c>
      <c r="H4246" s="4" t="s">
        <v>11</v>
      </c>
      <c r="I4246" s="5">
        <v>0</v>
      </c>
      <c r="J4246" s="4">
        <v>45926.558692129627</v>
      </c>
    </row>
    <row r="4247" spans="1:10" x14ac:dyDescent="0.2">
      <c r="A4247" s="2" t="s">
        <v>10</v>
      </c>
      <c r="B4247" s="3" t="str">
        <f t="shared" si="80"/>
        <v>REMERCIEMENTS_VAD_2023</v>
      </c>
      <c r="C4247" s="3" t="str">
        <f>HYPERLINK("https://otsuka-europe-crm.veevavault.com/ui/#object/sent_email__v/VBLZ025E82H2Y49", "SE-000281532")</f>
        <v>SE-000281532</v>
      </c>
      <c r="D4247" s="4" t="s">
        <v>11</v>
      </c>
      <c r="E4247" s="5">
        <v>0</v>
      </c>
      <c r="F4247" s="5">
        <v>0</v>
      </c>
      <c r="G4247" s="5">
        <v>0</v>
      </c>
      <c r="H4247" s="4" t="s">
        <v>11</v>
      </c>
      <c r="I4247" s="5">
        <v>0</v>
      </c>
      <c r="J4247" s="4">
        <v>45929.437094907407</v>
      </c>
    </row>
    <row r="4248" spans="1:10" x14ac:dyDescent="0.2">
      <c r="A4248" s="2" t="s">
        <v>10</v>
      </c>
      <c r="B4248" s="3" t="str">
        <f t="shared" si="80"/>
        <v>REMERCIEMENTS_VAD_2023</v>
      </c>
      <c r="C4248" s="3" t="str">
        <f>HYPERLINK("https://otsuka-europe-crm.veevavault.com/ui/#object/sent_email__v/VBLZ025E82H2ZI9", "SE-000281536")</f>
        <v>SE-000281536</v>
      </c>
      <c r="D4248" s="4">
        <v>45929.446053240739</v>
      </c>
      <c r="E4248" s="5">
        <v>1</v>
      </c>
      <c r="F4248" s="5">
        <v>1</v>
      </c>
      <c r="G4248" s="5">
        <v>1</v>
      </c>
      <c r="H4248" s="4">
        <v>45929.446134259262</v>
      </c>
      <c r="I4248" s="5">
        <v>5</v>
      </c>
      <c r="J4248" s="4">
        <v>45929.4455787037</v>
      </c>
    </row>
    <row r="4249" spans="1:10" x14ac:dyDescent="0.2">
      <c r="A4249" s="2" t="s">
        <v>10</v>
      </c>
      <c r="B4249" s="3" t="str">
        <f t="shared" si="80"/>
        <v>REMERCIEMENTS_VAD_2023</v>
      </c>
      <c r="C4249" s="3" t="str">
        <f>HYPERLINK("https://otsuka-europe-crm.veevavault.com/ui/#object/sent_email__v/VBLZ025E82H3I3P", "SE-000281570")</f>
        <v>SE-000281570</v>
      </c>
      <c r="D4249" s="4" t="s">
        <v>11</v>
      </c>
      <c r="E4249" s="5">
        <v>0</v>
      </c>
      <c r="F4249" s="5">
        <v>0</v>
      </c>
      <c r="G4249" s="5">
        <v>0</v>
      </c>
      <c r="H4249" s="4" t="s">
        <v>11</v>
      </c>
      <c r="I4249" s="5">
        <v>0</v>
      </c>
      <c r="J4249" s="4">
        <v>45929.593287037038</v>
      </c>
    </row>
    <row r="4250" spans="1:10" x14ac:dyDescent="0.2">
      <c r="A4250" s="2" t="s">
        <v>10</v>
      </c>
      <c r="B4250" s="3" t="str">
        <f t="shared" si="80"/>
        <v>REMERCIEMENTS_VAD_2023</v>
      </c>
      <c r="C4250" s="3" t="str">
        <f>HYPERLINK("https://otsuka-europe-crm.veevavault.com/ui/#object/sent_email__v/VBLZ025E82H5DB5", "SE-000282292")</f>
        <v>SE-000282292</v>
      </c>
      <c r="D4250" s="4" t="s">
        <v>11</v>
      </c>
      <c r="E4250" s="5">
        <v>0</v>
      </c>
      <c r="F4250" s="5">
        <v>0</v>
      </c>
      <c r="G4250" s="5">
        <v>0</v>
      </c>
      <c r="H4250" s="4" t="s">
        <v>11</v>
      </c>
      <c r="I4250" s="5">
        <v>0</v>
      </c>
      <c r="J4250" s="4">
        <v>45930.620115740741</v>
      </c>
    </row>
    <row r="4251" spans="1:10" x14ac:dyDescent="0.2">
      <c r="A4251" s="2" t="s">
        <v>10</v>
      </c>
      <c r="B4251" s="3" t="str">
        <f t="shared" si="80"/>
        <v>REMERCIEMENTS_VAD_2023</v>
      </c>
      <c r="C4251" s="3" t="str">
        <f>HYPERLINK("https://otsuka-europe-crm.veevavault.com/ui/#object/sent_email__v/VBLZ025E82H7HRX", "SE-000282862")</f>
        <v>SE-000282862</v>
      </c>
      <c r="D4251" s="4" t="s">
        <v>11</v>
      </c>
      <c r="E4251" s="5">
        <v>0</v>
      </c>
      <c r="F4251" s="5">
        <v>0</v>
      </c>
      <c r="G4251" s="5">
        <v>0</v>
      </c>
      <c r="H4251" s="4" t="s">
        <v>11</v>
      </c>
      <c r="I4251" s="5">
        <v>0</v>
      </c>
      <c r="J4251" s="4">
        <v>45932.409756944442</v>
      </c>
    </row>
    <row r="4252" spans="1:10" x14ac:dyDescent="0.2">
      <c r="A4252" s="2" t="s">
        <v>10</v>
      </c>
      <c r="B4252" s="3" t="str">
        <f t="shared" si="80"/>
        <v>REMERCIEMENTS_VAD_2023</v>
      </c>
      <c r="C4252" s="3" t="str">
        <f>HYPERLINK("https://otsuka-europe-crm.veevavault.com/ui/#object/sent_email__v/VBLZ025E82H8KNX", "SE-000283031")</f>
        <v>SE-000283031</v>
      </c>
      <c r="D4252" s="4">
        <v>45932.71193287037</v>
      </c>
      <c r="E4252" s="5">
        <v>1</v>
      </c>
      <c r="F4252" s="5">
        <v>1</v>
      </c>
      <c r="G4252" s="5">
        <v>0</v>
      </c>
      <c r="H4252" s="4" t="s">
        <v>11</v>
      </c>
      <c r="I4252" s="5">
        <v>0</v>
      </c>
      <c r="J4252" s="4">
        <v>45932.699201388888</v>
      </c>
    </row>
    <row r="4253" spans="1:10" x14ac:dyDescent="0.2">
      <c r="A4253" s="2" t="s">
        <v>10</v>
      </c>
      <c r="B4253" s="3" t="str">
        <f t="shared" si="80"/>
        <v>REMERCIEMENTS_VAD_2023</v>
      </c>
      <c r="C4253" s="3" t="str">
        <f>HYPERLINK("https://otsuka-europe-crm.veevavault.com/ui/#object/sent_email__v/VBLZ025E82HAFBX", "SE-000283352")</f>
        <v>SE-000283352</v>
      </c>
      <c r="D4253" s="4" t="s">
        <v>11</v>
      </c>
      <c r="E4253" s="5">
        <v>0</v>
      </c>
      <c r="F4253" s="5">
        <v>0</v>
      </c>
      <c r="G4253" s="5">
        <v>0</v>
      </c>
      <c r="H4253" s="4" t="s">
        <v>11</v>
      </c>
      <c r="I4253" s="5">
        <v>0</v>
      </c>
      <c r="J4253" s="4">
        <v>45933.602962962963</v>
      </c>
    </row>
    <row r="4254" spans="1:10" x14ac:dyDescent="0.2">
      <c r="A4254" s="2" t="s">
        <v>10</v>
      </c>
      <c r="B4254" s="3" t="str">
        <f t="shared" si="80"/>
        <v>REMERCIEMENTS_VAD_2023</v>
      </c>
      <c r="C4254" s="3" t="str">
        <f>HYPERLINK("https://otsuka-europe-crm.veevavault.com/ui/#object/sent_email__v/VBLZ025E82HD231", "SE-000284228")</f>
        <v>SE-000284228</v>
      </c>
      <c r="D4254" s="4">
        <v>45937.46125</v>
      </c>
      <c r="E4254" s="5">
        <v>1</v>
      </c>
      <c r="F4254" s="5">
        <v>1</v>
      </c>
      <c r="G4254" s="5">
        <v>0</v>
      </c>
      <c r="H4254" s="4" t="s">
        <v>11</v>
      </c>
      <c r="I4254" s="5">
        <v>0</v>
      </c>
      <c r="J4254" s="4">
        <v>45937.453379629631</v>
      </c>
    </row>
    <row r="4255" spans="1:10" x14ac:dyDescent="0.2">
      <c r="A4255" s="2" t="s">
        <v>10</v>
      </c>
      <c r="B4255" s="3" t="str">
        <f t="shared" si="80"/>
        <v>REMERCIEMENTS_VAD_2023</v>
      </c>
      <c r="C4255" s="3" t="str">
        <f>HYPERLINK("https://otsuka-europe-crm.veevavault.com/ui/#object/sent_email__v/VBLZ025E82HD4ED", "SE-000284231")</f>
        <v>SE-000284231</v>
      </c>
      <c r="D4255" s="4" t="s">
        <v>11</v>
      </c>
      <c r="E4255" s="5">
        <v>0</v>
      </c>
      <c r="F4255" s="5">
        <v>0</v>
      </c>
      <c r="G4255" s="5">
        <v>0</v>
      </c>
      <c r="H4255" s="4" t="s">
        <v>11</v>
      </c>
      <c r="I4255" s="5">
        <v>0</v>
      </c>
      <c r="J4255" s="4">
        <v>45937.473009259258</v>
      </c>
    </row>
    <row r="4256" spans="1:10" x14ac:dyDescent="0.2">
      <c r="A4256" s="2" t="s">
        <v>10</v>
      </c>
      <c r="B4256" s="3" t="str">
        <f t="shared" si="80"/>
        <v>REMERCIEMENTS_VAD_2023</v>
      </c>
      <c r="C4256" s="3" t="str">
        <f>HYPERLINK("https://otsuka-europe-crm.veevavault.com/ui/#object/sent_email__v/VBLZ025E82HFD3X", "SE-000285023")</f>
        <v>SE-000285023</v>
      </c>
      <c r="D4256" s="4">
        <v>45939.596215277779</v>
      </c>
      <c r="E4256" s="5">
        <v>1</v>
      </c>
      <c r="F4256" s="5">
        <v>1</v>
      </c>
      <c r="G4256" s="5">
        <v>0</v>
      </c>
      <c r="H4256" s="4" t="s">
        <v>11</v>
      </c>
      <c r="I4256" s="5">
        <v>0</v>
      </c>
      <c r="J4256" s="4">
        <v>45938.687534722223</v>
      </c>
    </row>
    <row r="4257" spans="1:10" x14ac:dyDescent="0.2">
      <c r="A4257" s="2" t="s">
        <v>10</v>
      </c>
      <c r="B4257" s="3" t="str">
        <f t="shared" si="80"/>
        <v>REMERCIEMENTS_VAD_2023</v>
      </c>
      <c r="C4257" s="3" t="str">
        <f>HYPERLINK("https://otsuka-europe-crm.veevavault.com/ui/#object/sent_email__v/VBLZ025E82HFENH", "SE-000285025")</f>
        <v>SE-000285025</v>
      </c>
      <c r="D4257" s="4">
        <v>45939.595902777779</v>
      </c>
      <c r="E4257" s="5">
        <v>1</v>
      </c>
      <c r="F4257" s="5">
        <v>1</v>
      </c>
      <c r="G4257" s="5">
        <v>0</v>
      </c>
      <c r="H4257" s="4" t="s">
        <v>11</v>
      </c>
      <c r="I4257" s="5">
        <v>0</v>
      </c>
      <c r="J4257" s="4">
        <v>45938.701944444445</v>
      </c>
    </row>
    <row r="4258" spans="1:10" x14ac:dyDescent="0.2">
      <c r="A4258" s="2" t="s">
        <v>10</v>
      </c>
      <c r="B4258" s="3" t="str">
        <f t="shared" si="80"/>
        <v>REMERCIEMENTS_VAD_2023</v>
      </c>
      <c r="C4258" s="3" t="str">
        <f>HYPERLINK("https://otsuka-europe-crm.veevavault.com/ui/#object/sent_email__v/VBLZ025E82HFIFL", "SE-000285034")</f>
        <v>SE-000285034</v>
      </c>
      <c r="D4258" s="4">
        <v>45938.820601851854</v>
      </c>
      <c r="E4258" s="5">
        <v>1</v>
      </c>
      <c r="F4258" s="5">
        <v>2</v>
      </c>
      <c r="G4258" s="5">
        <v>0</v>
      </c>
      <c r="H4258" s="4" t="s">
        <v>11</v>
      </c>
      <c r="I4258" s="5">
        <v>0</v>
      </c>
      <c r="J4258" s="4">
        <v>45938.82</v>
      </c>
    </row>
    <row r="4259" spans="1:10" x14ac:dyDescent="0.2">
      <c r="A4259" s="2" t="s">
        <v>10</v>
      </c>
      <c r="B4259" s="3" t="str">
        <f t="shared" si="80"/>
        <v>REMERCIEMENTS_VAD_2023</v>
      </c>
      <c r="C4259" s="3" t="str">
        <f>HYPERLINK("https://otsuka-europe-crm.veevavault.com/ui/#object/sent_email__v/VBLZ025E82HFIID", "SE-000285035")</f>
        <v>SE-000285035</v>
      </c>
      <c r="D4259" s="4" t="s">
        <v>11</v>
      </c>
      <c r="E4259" s="5">
        <v>0</v>
      </c>
      <c r="F4259" s="5">
        <v>0</v>
      </c>
      <c r="G4259" s="5">
        <v>0</v>
      </c>
      <c r="H4259" s="4" t="s">
        <v>11</v>
      </c>
      <c r="I4259" s="5">
        <v>0</v>
      </c>
      <c r="J4259" s="4">
        <v>45938.821527777778</v>
      </c>
    </row>
    <row r="4260" spans="1:10" x14ac:dyDescent="0.2">
      <c r="A4260" s="2" t="s">
        <v>10</v>
      </c>
      <c r="B4260" s="3" t="str">
        <f t="shared" si="80"/>
        <v>REMERCIEMENTS_VAD_2023</v>
      </c>
      <c r="C4260" s="3" t="str">
        <f>HYPERLINK("https://otsuka-europe-crm.veevavault.com/ui/#object/sent_email__v/VBLZ025E82HFUXL", "SE-000285094")</f>
        <v>SE-000285094</v>
      </c>
      <c r="D4260" s="4" t="s">
        <v>11</v>
      </c>
      <c r="E4260" s="5">
        <v>0</v>
      </c>
      <c r="F4260" s="5">
        <v>0</v>
      </c>
      <c r="G4260" s="5">
        <v>0</v>
      </c>
      <c r="H4260" s="4" t="s">
        <v>11</v>
      </c>
      <c r="I4260" s="5">
        <v>0</v>
      </c>
      <c r="J4260" s="4">
        <v>45939.429884259262</v>
      </c>
    </row>
    <row r="4261" spans="1:10" x14ac:dyDescent="0.2">
      <c r="A4261" s="2" t="s">
        <v>10</v>
      </c>
      <c r="B4261" s="3" t="str">
        <f t="shared" si="80"/>
        <v>REMERCIEMENTS_VAD_2023</v>
      </c>
      <c r="C4261" s="3" t="str">
        <f>HYPERLINK("https://otsuka-europe-crm.veevavault.com/ui/#object/sent_email__v/VBLZ025E82HFW0I", "SE-000285126")</f>
        <v>SE-000285126</v>
      </c>
      <c r="D4261" s="4" t="s">
        <v>11</v>
      </c>
      <c r="E4261" s="5">
        <v>0</v>
      </c>
      <c r="F4261" s="5">
        <v>0</v>
      </c>
      <c r="G4261" s="5">
        <v>0</v>
      </c>
      <c r="H4261" s="4" t="s">
        <v>11</v>
      </c>
      <c r="I4261" s="5">
        <v>0</v>
      </c>
      <c r="J4261" s="4">
        <v>45939.445150462961</v>
      </c>
    </row>
    <row r="4262" spans="1:10" x14ac:dyDescent="0.2">
      <c r="A4262" s="2" t="s">
        <v>10</v>
      </c>
      <c r="B4262" s="3" t="str">
        <f t="shared" si="80"/>
        <v>REMERCIEMENTS_VAD_2023</v>
      </c>
      <c r="C4262" s="3" t="str">
        <f>HYPERLINK("https://otsuka-europe-crm.veevavault.com/ui/#object/sent_email__v/VBLZ025E82HGHM9", "SE-000285409")</f>
        <v>SE-000285409</v>
      </c>
      <c r="D4262" s="4">
        <v>45939.610115740739</v>
      </c>
      <c r="E4262" s="5">
        <v>1</v>
      </c>
      <c r="F4262" s="5">
        <v>1</v>
      </c>
      <c r="G4262" s="5">
        <v>0</v>
      </c>
      <c r="H4262" s="4" t="s">
        <v>11</v>
      </c>
      <c r="I4262" s="5">
        <v>0</v>
      </c>
      <c r="J4262" s="4">
        <v>45939.60428240741</v>
      </c>
    </row>
    <row r="4263" spans="1:10" x14ac:dyDescent="0.2">
      <c r="A4263" s="2" t="s">
        <v>10</v>
      </c>
      <c r="B4263" s="3" t="str">
        <f t="shared" si="80"/>
        <v>REMERCIEMENTS_VAD_2023</v>
      </c>
      <c r="C4263" s="3" t="str">
        <f>HYPERLINK("https://otsuka-europe-crm.veevavault.com/ui/#object/sent_email__v/VBLZ025E82HIC7H", "SE-000286725")</f>
        <v>SE-000286725</v>
      </c>
      <c r="D4263" s="4">
        <v>45943.366331018522</v>
      </c>
      <c r="E4263" s="5">
        <v>1</v>
      </c>
      <c r="F4263" s="5">
        <v>1</v>
      </c>
      <c r="G4263" s="5">
        <v>0</v>
      </c>
      <c r="H4263" s="4" t="s">
        <v>11</v>
      </c>
      <c r="I4263" s="5">
        <v>0</v>
      </c>
      <c r="J4263" s="4">
        <v>45943.334826388891</v>
      </c>
    </row>
    <row r="4264" spans="1:10" x14ac:dyDescent="0.2">
      <c r="A4264" s="2" t="s">
        <v>10</v>
      </c>
      <c r="B4264" s="3" t="str">
        <f t="shared" si="80"/>
        <v>REMERCIEMENTS_VAD_2023</v>
      </c>
      <c r="C4264" s="3" t="str">
        <f>HYPERLINK("https://otsuka-europe-crm.veevavault.com/ui/#object/sent_email__v/VBLZ025E82HIDD5", "SE-000286773")</f>
        <v>SE-000286773</v>
      </c>
      <c r="D4264" s="4">
        <v>45943.405925925923</v>
      </c>
      <c r="E4264" s="5">
        <v>1</v>
      </c>
      <c r="F4264" s="5">
        <v>2</v>
      </c>
      <c r="G4264" s="5">
        <v>0</v>
      </c>
      <c r="H4264" s="4" t="s">
        <v>11</v>
      </c>
      <c r="I4264" s="5">
        <v>0</v>
      </c>
      <c r="J4264" s="4">
        <v>45943.365439814814</v>
      </c>
    </row>
    <row r="4265" spans="1:10" x14ac:dyDescent="0.2">
      <c r="A4265" s="2" t="s">
        <v>10</v>
      </c>
      <c r="B4265" s="3" t="str">
        <f t="shared" si="80"/>
        <v>REMERCIEMENTS_VAD_2023</v>
      </c>
      <c r="C4265" s="3" t="str">
        <f>HYPERLINK("https://otsuka-europe-crm.veevavault.com/ui/#object/sent_email__v/VBLZ025E82HJI11", "SE-000286856")</f>
        <v>SE-000286856</v>
      </c>
      <c r="D4265" s="4">
        <v>45943.962314814817</v>
      </c>
      <c r="E4265" s="5">
        <v>1</v>
      </c>
      <c r="F4265" s="5">
        <v>2</v>
      </c>
      <c r="G4265" s="5">
        <v>0</v>
      </c>
      <c r="H4265" s="4" t="s">
        <v>11</v>
      </c>
      <c r="I4265" s="5">
        <v>0</v>
      </c>
      <c r="J4265" s="4">
        <v>45943.937083333331</v>
      </c>
    </row>
    <row r="4266" spans="1:10" x14ac:dyDescent="0.2">
      <c r="A4266" s="2" t="s">
        <v>10</v>
      </c>
      <c r="B4266" s="3" t="str">
        <f t="shared" si="80"/>
        <v>REMERCIEMENTS_VAD_2023</v>
      </c>
      <c r="C4266" s="3" t="str">
        <f>HYPERLINK("https://otsuka-europe-crm.veevavault.com/ui/#object/sent_email__v/VBLZ025E82HJK41", "SE-000286866")</f>
        <v>SE-000286866</v>
      </c>
      <c r="D4266" s="4" t="s">
        <v>11</v>
      </c>
      <c r="E4266" s="5">
        <v>0</v>
      </c>
      <c r="F4266" s="5">
        <v>0</v>
      </c>
      <c r="G4266" s="5">
        <v>0</v>
      </c>
      <c r="H4266" s="4" t="s">
        <v>11</v>
      </c>
      <c r="I4266" s="5">
        <v>0</v>
      </c>
      <c r="J4266" s="4">
        <v>45944.336296296293</v>
      </c>
    </row>
    <row r="4267" spans="1:10" x14ac:dyDescent="0.2">
      <c r="A4267" s="2" t="s">
        <v>10</v>
      </c>
      <c r="B4267" s="3" t="str">
        <f t="shared" si="80"/>
        <v>REMERCIEMENTS_VAD_2023</v>
      </c>
      <c r="C4267" s="3" t="str">
        <f>HYPERLINK("https://otsuka-europe-crm.veevavault.com/ui/#object/sent_email__v/VBLZ025E82HK5EP", "SE-000287166")</f>
        <v>SE-000287166</v>
      </c>
      <c r="D4267" s="4">
        <v>46003.423298611109</v>
      </c>
      <c r="E4267" s="5">
        <v>1</v>
      </c>
      <c r="F4267" s="5">
        <v>2</v>
      </c>
      <c r="G4267" s="5">
        <v>0</v>
      </c>
      <c r="H4267" s="4" t="s">
        <v>11</v>
      </c>
      <c r="I4267" s="5">
        <v>0</v>
      </c>
      <c r="J4267" s="4">
        <v>45944.519432870373</v>
      </c>
    </row>
    <row r="4268" spans="1:10" x14ac:dyDescent="0.2">
      <c r="A4268" s="2" t="s">
        <v>10</v>
      </c>
      <c r="B4268" s="3" t="str">
        <f t="shared" si="80"/>
        <v>REMERCIEMENTS_VAD_2023</v>
      </c>
      <c r="C4268" s="3" t="str">
        <f>HYPERLINK("https://otsuka-europe-crm.veevavault.com/ui/#object/sent_email__v/VBLZ025E82HL9RH", "SE-000287816")</f>
        <v>SE-000287816</v>
      </c>
      <c r="D4268" s="4" t="s">
        <v>11</v>
      </c>
      <c r="E4268" s="5">
        <v>0</v>
      </c>
      <c r="F4268" s="5">
        <v>0</v>
      </c>
      <c r="G4268" s="5">
        <v>0</v>
      </c>
      <c r="H4268" s="4" t="s">
        <v>11</v>
      </c>
      <c r="I4268" s="5">
        <v>0</v>
      </c>
      <c r="J4268" s="4">
        <v>45945.521041666667</v>
      </c>
    </row>
    <row r="4269" spans="1:10" x14ac:dyDescent="0.2">
      <c r="A4269" s="2" t="s">
        <v>10</v>
      </c>
      <c r="B4269" s="3" t="str">
        <f t="shared" si="80"/>
        <v>REMERCIEMENTS_VAD_2023</v>
      </c>
      <c r="C4269" s="3" t="str">
        <f>HYPERLINK("https://otsuka-europe-crm.veevavault.com/ui/#object/sent_email__v/VBLZ025E82HM2B9", "SE-000287886")</f>
        <v>SE-000287886</v>
      </c>
      <c r="D4269" s="4">
        <v>45946.621168981481</v>
      </c>
      <c r="E4269" s="5">
        <v>1</v>
      </c>
      <c r="F4269" s="5">
        <v>1</v>
      </c>
      <c r="G4269" s="5">
        <v>0</v>
      </c>
      <c r="H4269" s="4" t="s">
        <v>11</v>
      </c>
      <c r="I4269" s="5">
        <v>0</v>
      </c>
      <c r="J4269" s="4">
        <v>45946.392256944448</v>
      </c>
    </row>
    <row r="4270" spans="1:10" x14ac:dyDescent="0.2">
      <c r="A4270" s="2" t="s">
        <v>10</v>
      </c>
      <c r="B4270" s="3" t="str">
        <f t="shared" si="80"/>
        <v>REMERCIEMENTS_VAD_2023</v>
      </c>
      <c r="C4270" s="3" t="str">
        <f>HYPERLINK("https://otsuka-europe-crm.veevavault.com/ui/#object/sent_email__v/VBLZ025E82HMAST", "SE-000287909")</f>
        <v>SE-000287909</v>
      </c>
      <c r="D4270" s="4" t="s">
        <v>11</v>
      </c>
      <c r="E4270" s="5">
        <v>0</v>
      </c>
      <c r="F4270" s="5">
        <v>0</v>
      </c>
      <c r="G4270" s="5">
        <v>0</v>
      </c>
      <c r="H4270" s="4" t="s">
        <v>11</v>
      </c>
      <c r="I4270" s="5">
        <v>0</v>
      </c>
      <c r="J4270" s="4">
        <v>45946.473993055559</v>
      </c>
    </row>
    <row r="4271" spans="1:10" x14ac:dyDescent="0.2">
      <c r="A4271" s="2" t="s">
        <v>10</v>
      </c>
      <c r="B4271" s="3" t="str">
        <f t="shared" si="80"/>
        <v>REMERCIEMENTS_VAD_2023</v>
      </c>
      <c r="C4271" s="3" t="str">
        <f>HYPERLINK("https://otsuka-europe-crm.veevavault.com/ui/#object/sent_email__v/VBLZ025E82HNUID", "SE-000288040")</f>
        <v>SE-000288040</v>
      </c>
      <c r="D4271" s="4">
        <v>45947.614895833336</v>
      </c>
      <c r="E4271" s="5">
        <v>1</v>
      </c>
      <c r="F4271" s="5">
        <v>1</v>
      </c>
      <c r="G4271" s="5">
        <v>1</v>
      </c>
      <c r="H4271" s="4">
        <v>45947.614976851852</v>
      </c>
      <c r="I4271" s="5">
        <v>6</v>
      </c>
      <c r="J4271" s="4">
        <v>45947.61378472222</v>
      </c>
    </row>
    <row r="4272" spans="1:10" x14ac:dyDescent="0.2">
      <c r="A4272" s="2" t="s">
        <v>10</v>
      </c>
      <c r="B4272" s="3" t="str">
        <f t="shared" si="80"/>
        <v>REMERCIEMENTS_VAD_2023</v>
      </c>
      <c r="C4272" s="3" t="str">
        <f>HYPERLINK("https://otsuka-europe-crm.veevavault.com/ui/#object/sent_email__v/VBLZ025E82HO965", "SE-000288051")</f>
        <v>SE-000288051</v>
      </c>
      <c r="D4272" s="4">
        <v>45949.438159722224</v>
      </c>
      <c r="E4272" s="5">
        <v>1</v>
      </c>
      <c r="F4272" s="5">
        <v>1</v>
      </c>
      <c r="G4272" s="5">
        <v>0</v>
      </c>
      <c r="H4272" s="4" t="s">
        <v>11</v>
      </c>
      <c r="I4272" s="5">
        <v>0</v>
      </c>
      <c r="J4272" s="4">
        <v>45949.385011574072</v>
      </c>
    </row>
    <row r="4273" spans="1:10" x14ac:dyDescent="0.2">
      <c r="A4273" s="2" t="s">
        <v>10</v>
      </c>
      <c r="B4273" s="3" t="str">
        <f t="shared" si="80"/>
        <v>REMERCIEMENTS_VAD_2023</v>
      </c>
      <c r="C4273" s="3" t="str">
        <f>HYPERLINK("https://otsuka-europe-crm.veevavault.com/ui/#object/sent_email__v/VBLZ025E82HO98X", "SE-000288052")</f>
        <v>SE-000288052</v>
      </c>
      <c r="D4273" s="4">
        <v>45949.438020833331</v>
      </c>
      <c r="E4273" s="5">
        <v>1</v>
      </c>
      <c r="F4273" s="5">
        <v>1</v>
      </c>
      <c r="G4273" s="5">
        <v>0</v>
      </c>
      <c r="H4273" s="4" t="s">
        <v>11</v>
      </c>
      <c r="I4273" s="5">
        <v>0</v>
      </c>
      <c r="J4273" s="4">
        <v>45949.385162037041</v>
      </c>
    </row>
    <row r="4274" spans="1:10" x14ac:dyDescent="0.2">
      <c r="A4274" s="2" t="s">
        <v>10</v>
      </c>
      <c r="B4274" s="3" t="str">
        <f t="shared" si="80"/>
        <v>REMERCIEMENTS_VAD_2023</v>
      </c>
      <c r="C4274" s="3" t="str">
        <f>HYPERLINK("https://otsuka-europe-crm.veevavault.com/ui/#object/sent_email__v/VBLZ025E82HO9BP", "SE-000288053")</f>
        <v>SE-000288053</v>
      </c>
      <c r="D4274" s="4">
        <v>45950.436932870369</v>
      </c>
      <c r="E4274" s="5">
        <v>1</v>
      </c>
      <c r="F4274" s="5">
        <v>1</v>
      </c>
      <c r="G4274" s="5">
        <v>0</v>
      </c>
      <c r="H4274" s="4" t="s">
        <v>11</v>
      </c>
      <c r="I4274" s="5">
        <v>0</v>
      </c>
      <c r="J4274" s="4">
        <v>45949.385405092595</v>
      </c>
    </row>
    <row r="4275" spans="1:10" x14ac:dyDescent="0.2">
      <c r="A4275" s="2" t="s">
        <v>10</v>
      </c>
      <c r="B4275" s="3" t="str">
        <f t="shared" si="80"/>
        <v>REMERCIEMENTS_VAD_2023</v>
      </c>
      <c r="C4275" s="3" t="str">
        <f>HYPERLINK("https://otsuka-europe-crm.veevavault.com/ui/#object/sent_email__v/VBLZ025E82HOTUL", "SE-000288474")</f>
        <v>SE-000288474</v>
      </c>
      <c r="D4275" s="4">
        <v>46017.632789351854</v>
      </c>
      <c r="E4275" s="5">
        <v>1</v>
      </c>
      <c r="F4275" s="5">
        <v>5</v>
      </c>
      <c r="G4275" s="5">
        <v>0</v>
      </c>
      <c r="H4275" s="4" t="s">
        <v>11</v>
      </c>
      <c r="I4275" s="5">
        <v>0</v>
      </c>
      <c r="J4275" s="4">
        <v>45950.445034722223</v>
      </c>
    </row>
    <row r="4276" spans="1:10" x14ac:dyDescent="0.2">
      <c r="A4276" s="2" t="s">
        <v>10</v>
      </c>
      <c r="B4276" s="3" t="str">
        <f t="shared" si="80"/>
        <v>REMERCIEMENTS_VAD_2023</v>
      </c>
      <c r="C4276" s="3" t="str">
        <f>HYPERLINK("https://otsuka-europe-crm.veevavault.com/ui/#object/sent_email__v/VBLZ025E82HP84H", "SE-000288563")</f>
        <v>SE-000288563</v>
      </c>
      <c r="D4276" s="4">
        <v>45988.363854166666</v>
      </c>
      <c r="E4276" s="5">
        <v>1</v>
      </c>
      <c r="F4276" s="5">
        <v>8</v>
      </c>
      <c r="G4276" s="5">
        <v>0</v>
      </c>
      <c r="H4276" s="4" t="s">
        <v>11</v>
      </c>
      <c r="I4276" s="5">
        <v>0</v>
      </c>
      <c r="J4276" s="4">
        <v>45950.570810185185</v>
      </c>
    </row>
    <row r="4277" spans="1:10" x14ac:dyDescent="0.2">
      <c r="A4277" s="2" t="s">
        <v>10</v>
      </c>
      <c r="B4277" s="3" t="str">
        <f t="shared" si="80"/>
        <v>REMERCIEMENTS_VAD_2023</v>
      </c>
      <c r="C4277" s="3" t="str">
        <f>HYPERLINK("https://otsuka-europe-crm.veevavault.com/ui/#object/sent_email__v/VBLZ025E82HQJF9", "SE-000289365")</f>
        <v>SE-000289365</v>
      </c>
      <c r="D4277" s="4" t="s">
        <v>11</v>
      </c>
      <c r="E4277" s="5">
        <v>0</v>
      </c>
      <c r="F4277" s="5">
        <v>0</v>
      </c>
      <c r="G4277" s="5">
        <v>0</v>
      </c>
      <c r="H4277" s="4" t="s">
        <v>11</v>
      </c>
      <c r="I4277" s="5">
        <v>0</v>
      </c>
      <c r="J4277" s="4">
        <v>45951.618043981478</v>
      </c>
    </row>
    <row r="4278" spans="1:10" x14ac:dyDescent="0.2">
      <c r="A4278" s="2" t="s">
        <v>10</v>
      </c>
      <c r="B4278" s="3" t="str">
        <f t="shared" ref="B4278:B4341" si="81">HYPERLINK("https://otsuka-europe-crm.veevavault.com/ui/#object/approved_document__v/V5OZ04ASG4G02Y7", "REMERCIEMENTS_VAD_2023")</f>
        <v>REMERCIEMENTS_VAD_2023</v>
      </c>
      <c r="C4278" s="3" t="str">
        <f>HYPERLINK("https://otsuka-europe-crm.veevavault.com/ui/#object/sent_email__v/VBL000000002384", "SE-001378935")</f>
        <v>SE-001378935</v>
      </c>
      <c r="D4278" s="4">
        <v>45965.614293981482</v>
      </c>
      <c r="E4278" s="5">
        <v>1</v>
      </c>
      <c r="F4278" s="5">
        <v>1</v>
      </c>
      <c r="G4278" s="5">
        <v>0</v>
      </c>
      <c r="H4278" s="4" t="s">
        <v>11</v>
      </c>
      <c r="I4278" s="5">
        <v>0</v>
      </c>
      <c r="J4278" s="4">
        <v>45958.625185185185</v>
      </c>
    </row>
    <row r="4279" spans="1:10" x14ac:dyDescent="0.2">
      <c r="A4279" s="2" t="s">
        <v>10</v>
      </c>
      <c r="B4279" s="3" t="str">
        <f t="shared" si="81"/>
        <v>REMERCIEMENTS_VAD_2023</v>
      </c>
      <c r="C4279" s="3" t="str">
        <f>HYPERLINK("https://otsuka-europe-crm.veevavault.com/ui/#object/sent_email__v/VBL000000002385", "SE-001378936")</f>
        <v>SE-001378936</v>
      </c>
      <c r="D4279" s="4" t="s">
        <v>11</v>
      </c>
      <c r="E4279" s="5">
        <v>0</v>
      </c>
      <c r="F4279" s="5">
        <v>0</v>
      </c>
      <c r="G4279" s="5">
        <v>0</v>
      </c>
      <c r="H4279" s="4" t="s">
        <v>11</v>
      </c>
      <c r="I4279" s="5">
        <v>0</v>
      </c>
      <c r="J4279" s="4">
        <v>45958.636331018519</v>
      </c>
    </row>
    <row r="4280" spans="1:10" x14ac:dyDescent="0.2">
      <c r="A4280" s="2" t="s">
        <v>10</v>
      </c>
      <c r="B4280" s="3" t="str">
        <f t="shared" si="81"/>
        <v>REMERCIEMENTS_VAD_2023</v>
      </c>
      <c r="C4280" s="3" t="str">
        <f>HYPERLINK("https://otsuka-europe-crm.veevavault.com/ui/#object/sent_email__v/VBL000000002425", "SE-001379246")</f>
        <v>SE-001379246</v>
      </c>
      <c r="D4280" s="4" t="s">
        <v>11</v>
      </c>
      <c r="E4280" s="5">
        <v>0</v>
      </c>
      <c r="F4280" s="5">
        <v>0</v>
      </c>
      <c r="G4280" s="5">
        <v>0</v>
      </c>
      <c r="H4280" s="4" t="s">
        <v>11</v>
      </c>
      <c r="I4280" s="5">
        <v>0</v>
      </c>
      <c r="J4280" s="4">
        <v>45959.423460648148</v>
      </c>
    </row>
    <row r="4281" spans="1:10" x14ac:dyDescent="0.2">
      <c r="A4281" s="2" t="s">
        <v>10</v>
      </c>
      <c r="B4281" s="3" t="str">
        <f t="shared" si="81"/>
        <v>REMERCIEMENTS_VAD_2023</v>
      </c>
      <c r="C4281" s="3" t="str">
        <f>HYPERLINK("https://otsuka-europe-crm.veevavault.com/ui/#object/sent_email__v/VBL000000002433", "SE-001379262")</f>
        <v>SE-001379262</v>
      </c>
      <c r="D4281" s="4" t="s">
        <v>11</v>
      </c>
      <c r="E4281" s="5">
        <v>0</v>
      </c>
      <c r="F4281" s="5">
        <v>0</v>
      </c>
      <c r="G4281" s="5">
        <v>0</v>
      </c>
      <c r="H4281" s="4" t="s">
        <v>11</v>
      </c>
      <c r="I4281" s="5">
        <v>0</v>
      </c>
      <c r="J4281" s="4">
        <v>45959.566793981481</v>
      </c>
    </row>
    <row r="4282" spans="1:10" x14ac:dyDescent="0.2">
      <c r="A4282" s="2" t="s">
        <v>10</v>
      </c>
      <c r="B4282" s="3" t="str">
        <f t="shared" si="81"/>
        <v>REMERCIEMENTS_VAD_2023</v>
      </c>
      <c r="C4282" s="3" t="str">
        <f>HYPERLINK("https://otsuka-europe-crm.veevavault.com/ui/#object/sent_email__v/VBL000000003428", "SE-001379435")</f>
        <v>SE-001379435</v>
      </c>
      <c r="D4282" s="4">
        <v>45960.382708333331</v>
      </c>
      <c r="E4282" s="5">
        <v>1</v>
      </c>
      <c r="F4282" s="5">
        <v>1</v>
      </c>
      <c r="G4282" s="5">
        <v>0</v>
      </c>
      <c r="H4282" s="4" t="s">
        <v>11</v>
      </c>
      <c r="I4282" s="5">
        <v>0</v>
      </c>
      <c r="J4282" s="4">
        <v>45960.382615740738</v>
      </c>
    </row>
    <row r="4283" spans="1:10" x14ac:dyDescent="0.2">
      <c r="A4283" s="2" t="s">
        <v>10</v>
      </c>
      <c r="B4283" s="3" t="str">
        <f t="shared" si="81"/>
        <v>REMERCIEMENTS_VAD_2023</v>
      </c>
      <c r="C4283" s="3" t="str">
        <f>HYPERLINK("https://otsuka-europe-crm.veevavault.com/ui/#object/sent_email__v/VBL000000005012", "SE-001379824")</f>
        <v>SE-001379824</v>
      </c>
      <c r="D4283" s="4">
        <v>45961.393148148149</v>
      </c>
      <c r="E4283" s="5">
        <v>1</v>
      </c>
      <c r="F4283" s="5">
        <v>1</v>
      </c>
      <c r="G4283" s="5">
        <v>0</v>
      </c>
      <c r="H4283" s="4" t="s">
        <v>11</v>
      </c>
      <c r="I4283" s="5">
        <v>0</v>
      </c>
      <c r="J4283" s="4">
        <v>45961.332268518519</v>
      </c>
    </row>
    <row r="4284" spans="1:10" x14ac:dyDescent="0.2">
      <c r="A4284" s="2" t="s">
        <v>10</v>
      </c>
      <c r="B4284" s="3" t="str">
        <f t="shared" si="81"/>
        <v>REMERCIEMENTS_VAD_2023</v>
      </c>
      <c r="C4284" s="3" t="str">
        <f>HYPERLINK("https://otsuka-europe-crm.veevavault.com/ui/#object/sent_email__v/VBL000000005164", "SE-001379945")</f>
        <v>SE-001379945</v>
      </c>
      <c r="D4284" s="4" t="s">
        <v>11</v>
      </c>
      <c r="E4284" s="5">
        <v>0</v>
      </c>
      <c r="F4284" s="5">
        <v>0</v>
      </c>
      <c r="G4284" s="5">
        <v>0</v>
      </c>
      <c r="H4284" s="4" t="s">
        <v>11</v>
      </c>
      <c r="I4284" s="5">
        <v>0</v>
      </c>
      <c r="J4284" s="4">
        <v>45961.390717592592</v>
      </c>
    </row>
    <row r="4285" spans="1:10" x14ac:dyDescent="0.2">
      <c r="A4285" s="2" t="s">
        <v>10</v>
      </c>
      <c r="B4285" s="3" t="str">
        <f t="shared" si="81"/>
        <v>REMERCIEMENTS_VAD_2023</v>
      </c>
      <c r="C4285" s="3" t="str">
        <f>HYPERLINK("https://otsuka-europe-crm.veevavault.com/ui/#object/sent_email__v/VBL000000007501", "SE-001382009")</f>
        <v>SE-001382009</v>
      </c>
      <c r="D4285" s="4" t="s">
        <v>11</v>
      </c>
      <c r="E4285" s="5">
        <v>0</v>
      </c>
      <c r="F4285" s="5">
        <v>0</v>
      </c>
      <c r="G4285" s="5">
        <v>0</v>
      </c>
      <c r="H4285" s="4" t="s">
        <v>11</v>
      </c>
      <c r="I4285" s="5">
        <v>0</v>
      </c>
      <c r="J4285" s="4">
        <v>45968.537708333337</v>
      </c>
    </row>
    <row r="4286" spans="1:10" x14ac:dyDescent="0.2">
      <c r="A4286" s="2" t="s">
        <v>10</v>
      </c>
      <c r="B4286" s="3" t="str">
        <f t="shared" si="81"/>
        <v>REMERCIEMENTS_VAD_2023</v>
      </c>
      <c r="C4286" s="3" t="str">
        <f>HYPERLINK("https://otsuka-europe-crm.veevavault.com/ui/#object/sent_email__v/VBL00000000M475", "SE-001389485")</f>
        <v>SE-001389485</v>
      </c>
      <c r="D4286" s="4">
        <v>45973.36613425926</v>
      </c>
      <c r="E4286" s="5">
        <v>1</v>
      </c>
      <c r="F4286" s="5">
        <v>1</v>
      </c>
      <c r="G4286" s="5">
        <v>0</v>
      </c>
      <c r="H4286" s="4" t="s">
        <v>11</v>
      </c>
      <c r="I4286" s="5">
        <v>0</v>
      </c>
      <c r="J4286" s="4">
        <v>45973.363865740743</v>
      </c>
    </row>
    <row r="4287" spans="1:10" x14ac:dyDescent="0.2">
      <c r="A4287" s="2" t="s">
        <v>10</v>
      </c>
      <c r="B4287" s="3" t="str">
        <f t="shared" si="81"/>
        <v>REMERCIEMENTS_VAD_2023</v>
      </c>
      <c r="C4287" s="3" t="str">
        <f>HYPERLINK("https://otsuka-europe-crm.veevavault.com/ui/#object/sent_email__v/VBL00000000J946", "SE-001389487")</f>
        <v>SE-001389487</v>
      </c>
      <c r="D4287" s="4">
        <v>45974.453414351854</v>
      </c>
      <c r="E4287" s="5">
        <v>1</v>
      </c>
      <c r="F4287" s="5">
        <v>3</v>
      </c>
      <c r="G4287" s="5">
        <v>0</v>
      </c>
      <c r="H4287" s="4" t="s">
        <v>11</v>
      </c>
      <c r="I4287" s="5">
        <v>0</v>
      </c>
      <c r="J4287" s="4">
        <v>45973.373599537037</v>
      </c>
    </row>
    <row r="4288" spans="1:10" x14ac:dyDescent="0.2">
      <c r="A4288" s="2" t="s">
        <v>10</v>
      </c>
      <c r="B4288" s="3" t="str">
        <f t="shared" si="81"/>
        <v>REMERCIEMENTS_VAD_2023</v>
      </c>
      <c r="C4288" s="3" t="str">
        <f>HYPERLINK("https://otsuka-europe-crm.veevavault.com/ui/#object/sent_email__v/VBL00000000M480", "SE-001389511")</f>
        <v>SE-001389511</v>
      </c>
      <c r="D4288" s="4" t="s">
        <v>11</v>
      </c>
      <c r="E4288" s="5">
        <v>0</v>
      </c>
      <c r="F4288" s="5">
        <v>0</v>
      </c>
      <c r="G4288" s="5">
        <v>0</v>
      </c>
      <c r="H4288" s="4" t="s">
        <v>11</v>
      </c>
      <c r="I4288" s="5">
        <v>0</v>
      </c>
      <c r="J4288" s="4">
        <v>45973.529027777775</v>
      </c>
    </row>
    <row r="4289" spans="1:10" x14ac:dyDescent="0.2">
      <c r="A4289" s="2" t="s">
        <v>10</v>
      </c>
      <c r="B4289" s="3" t="str">
        <f t="shared" si="81"/>
        <v>REMERCIEMENTS_VAD_2023</v>
      </c>
      <c r="C4289" s="3" t="str">
        <f>HYPERLINK("https://otsuka-europe-crm.veevavault.com/ui/#object/sent_email__v/VBL00000000M914", "SE-001390126")</f>
        <v>SE-001390126</v>
      </c>
      <c r="D4289" s="4" t="s">
        <v>11</v>
      </c>
      <c r="E4289" s="5">
        <v>0</v>
      </c>
      <c r="F4289" s="5">
        <v>0</v>
      </c>
      <c r="G4289" s="5">
        <v>0</v>
      </c>
      <c r="H4289" s="4" t="s">
        <v>11</v>
      </c>
      <c r="I4289" s="5">
        <v>0</v>
      </c>
      <c r="J4289" s="4">
        <v>45974.551550925928</v>
      </c>
    </row>
    <row r="4290" spans="1:10" x14ac:dyDescent="0.2">
      <c r="A4290" s="2" t="s">
        <v>10</v>
      </c>
      <c r="B4290" s="3" t="str">
        <f t="shared" si="81"/>
        <v>REMERCIEMENTS_VAD_2023</v>
      </c>
      <c r="C4290" s="3" t="str">
        <f>HYPERLINK("https://otsuka-europe-crm.veevavault.com/ui/#object/sent_email__v/VBL00000000N555", "SE-001391056")</f>
        <v>SE-001391056</v>
      </c>
      <c r="D4290" s="4" t="s">
        <v>11</v>
      </c>
      <c r="E4290" s="5">
        <v>0</v>
      </c>
      <c r="F4290" s="5">
        <v>0</v>
      </c>
      <c r="G4290" s="5">
        <v>0</v>
      </c>
      <c r="H4290" s="4" t="s">
        <v>11</v>
      </c>
      <c r="I4290" s="5">
        <v>0</v>
      </c>
      <c r="J4290" s="4">
        <v>45979.766423611109</v>
      </c>
    </row>
    <row r="4291" spans="1:10" x14ac:dyDescent="0.2">
      <c r="A4291" s="2" t="s">
        <v>10</v>
      </c>
      <c r="B4291" s="3" t="str">
        <f t="shared" si="81"/>
        <v>REMERCIEMENTS_VAD_2023</v>
      </c>
      <c r="C4291" s="3" t="str">
        <f>HYPERLINK("https://otsuka-europe-crm.veevavault.com/ui/#object/sent_email__v/VBL00000000Q123", "SE-001391272")</f>
        <v>SE-001391272</v>
      </c>
      <c r="D4291" s="4" t="s">
        <v>11</v>
      </c>
      <c r="E4291" s="5">
        <v>0</v>
      </c>
      <c r="F4291" s="5">
        <v>0</v>
      </c>
      <c r="G4291" s="5">
        <v>0</v>
      </c>
      <c r="H4291" s="4" t="s">
        <v>11</v>
      </c>
      <c r="I4291" s="5">
        <v>0</v>
      </c>
      <c r="J4291" s="4">
        <v>45980.531469907408</v>
      </c>
    </row>
    <row r="4292" spans="1:10" x14ac:dyDescent="0.2">
      <c r="A4292" s="2" t="s">
        <v>10</v>
      </c>
      <c r="B4292" s="3" t="str">
        <f t="shared" si="81"/>
        <v>REMERCIEMENTS_VAD_2023</v>
      </c>
      <c r="C4292" s="3" t="str">
        <f>HYPERLINK("https://otsuka-europe-crm.veevavault.com/ui/#object/sent_email__v/VBL00000000Q125", "SE-001391276")</f>
        <v>SE-001391276</v>
      </c>
      <c r="D4292" s="4">
        <v>45980.609907407408</v>
      </c>
      <c r="E4292" s="5">
        <v>1</v>
      </c>
      <c r="F4292" s="5">
        <v>1</v>
      </c>
      <c r="G4292" s="5">
        <v>0</v>
      </c>
      <c r="H4292" s="4" t="s">
        <v>11</v>
      </c>
      <c r="I4292" s="5">
        <v>0</v>
      </c>
      <c r="J4292" s="4">
        <v>45980.561759259261</v>
      </c>
    </row>
    <row r="4293" spans="1:10" x14ac:dyDescent="0.2">
      <c r="A4293" s="2" t="s">
        <v>10</v>
      </c>
      <c r="B4293" s="3" t="str">
        <f t="shared" si="81"/>
        <v>REMERCIEMENTS_VAD_2023</v>
      </c>
      <c r="C4293" s="3" t="str">
        <f>HYPERLINK("https://otsuka-europe-crm.veevavault.com/ui/#object/sent_email__v/VBL00000000Q131", "SE-001391282")</f>
        <v>SE-001391282</v>
      </c>
      <c r="D4293" s="4" t="s">
        <v>11</v>
      </c>
      <c r="E4293" s="5">
        <v>0</v>
      </c>
      <c r="F4293" s="5">
        <v>0</v>
      </c>
      <c r="G4293" s="5">
        <v>0</v>
      </c>
      <c r="H4293" s="4" t="s">
        <v>11</v>
      </c>
      <c r="I4293" s="5">
        <v>0</v>
      </c>
      <c r="J4293" s="4">
        <v>45980.604155092595</v>
      </c>
    </row>
    <row r="4294" spans="1:10" x14ac:dyDescent="0.2">
      <c r="A4294" s="2" t="s">
        <v>10</v>
      </c>
      <c r="B4294" s="3" t="str">
        <f t="shared" si="81"/>
        <v>REMERCIEMENTS_VAD_2023</v>
      </c>
      <c r="C4294" s="3" t="str">
        <f>HYPERLINK("https://otsuka-europe-crm.veevavault.com/ui/#object/sent_email__v/VBL00000000P072", "SE-001391284")</f>
        <v>SE-001391284</v>
      </c>
      <c r="D4294" s="4" t="s">
        <v>11</v>
      </c>
      <c r="E4294" s="5">
        <v>0</v>
      </c>
      <c r="F4294" s="5">
        <v>0</v>
      </c>
      <c r="G4294" s="5">
        <v>0</v>
      </c>
      <c r="H4294" s="4" t="s">
        <v>11</v>
      </c>
      <c r="I4294" s="5">
        <v>0</v>
      </c>
      <c r="J4294" s="4">
        <v>45980.606249999997</v>
      </c>
    </row>
    <row r="4295" spans="1:10" x14ac:dyDescent="0.2">
      <c r="A4295" s="2" t="s">
        <v>10</v>
      </c>
      <c r="B4295" s="3" t="str">
        <f t="shared" si="81"/>
        <v>REMERCIEMENTS_VAD_2023</v>
      </c>
      <c r="C4295" s="3" t="str">
        <f>HYPERLINK("https://otsuka-europe-crm.veevavault.com/ui/#object/sent_email__v/VBL00000000Q133", "SE-001391287")</f>
        <v>SE-001391287</v>
      </c>
      <c r="D4295" s="4">
        <v>45980.73238425926</v>
      </c>
      <c r="E4295" s="5">
        <v>1</v>
      </c>
      <c r="F4295" s="5">
        <v>1</v>
      </c>
      <c r="G4295" s="5">
        <v>0</v>
      </c>
      <c r="H4295" s="4" t="s">
        <v>11</v>
      </c>
      <c r="I4295" s="5">
        <v>0</v>
      </c>
      <c r="J4295" s="4">
        <v>45980.610462962963</v>
      </c>
    </row>
    <row r="4296" spans="1:10" x14ac:dyDescent="0.2">
      <c r="A4296" s="2" t="s">
        <v>10</v>
      </c>
      <c r="B4296" s="3" t="str">
        <f t="shared" si="81"/>
        <v>REMERCIEMENTS_VAD_2023</v>
      </c>
      <c r="C4296" s="3" t="str">
        <f>HYPERLINK("https://otsuka-europe-crm.veevavault.com/ui/#object/sent_email__v/VBL00000000R231", "SE-001391816")</f>
        <v>SE-001391816</v>
      </c>
      <c r="D4296" s="4">
        <v>45986.393634259257</v>
      </c>
      <c r="E4296" s="5">
        <v>1</v>
      </c>
      <c r="F4296" s="5">
        <v>1</v>
      </c>
      <c r="G4296" s="5">
        <v>1</v>
      </c>
      <c r="H4296" s="4">
        <v>45986.393634259257</v>
      </c>
      <c r="I4296" s="5">
        <v>2</v>
      </c>
      <c r="J4296" s="4">
        <v>45986.393206018518</v>
      </c>
    </row>
    <row r="4297" spans="1:10" x14ac:dyDescent="0.2">
      <c r="A4297" s="2" t="s">
        <v>10</v>
      </c>
      <c r="B4297" s="3" t="str">
        <f t="shared" si="81"/>
        <v>REMERCIEMENTS_VAD_2023</v>
      </c>
      <c r="C4297" s="3" t="str">
        <f>HYPERLINK("https://otsuka-europe-crm.veevavault.com/ui/#object/sent_email__v/VBL00000000R280", "SE-001391908")</f>
        <v>SE-001391908</v>
      </c>
      <c r="D4297" s="4" t="s">
        <v>11</v>
      </c>
      <c r="E4297" s="5">
        <v>0</v>
      </c>
      <c r="F4297" s="5">
        <v>0</v>
      </c>
      <c r="G4297" s="5">
        <v>0</v>
      </c>
      <c r="H4297" s="4" t="s">
        <v>11</v>
      </c>
      <c r="I4297" s="5">
        <v>0</v>
      </c>
      <c r="J4297" s="4">
        <v>45986.693148148152</v>
      </c>
    </row>
    <row r="4298" spans="1:10" x14ac:dyDescent="0.2">
      <c r="A4298" s="2" t="s">
        <v>10</v>
      </c>
      <c r="B4298" s="3" t="str">
        <f t="shared" si="81"/>
        <v>REMERCIEMENTS_VAD_2023</v>
      </c>
      <c r="C4298" s="3" t="str">
        <f>HYPERLINK("https://otsuka-europe-crm.veevavault.com/ui/#object/sent_email__v/VBL00000000R281", "SE-001391909")</f>
        <v>SE-001391909</v>
      </c>
      <c r="D4298" s="4" t="s">
        <v>11</v>
      </c>
      <c r="E4298" s="5">
        <v>0</v>
      </c>
      <c r="F4298" s="5">
        <v>0</v>
      </c>
      <c r="G4298" s="5">
        <v>0</v>
      </c>
      <c r="H4298" s="4" t="s">
        <v>11</v>
      </c>
      <c r="I4298" s="5">
        <v>0</v>
      </c>
      <c r="J4298" s="4">
        <v>45986.693182870367</v>
      </c>
    </row>
    <row r="4299" spans="1:10" x14ac:dyDescent="0.2">
      <c r="A4299" s="2" t="s">
        <v>10</v>
      </c>
      <c r="B4299" s="3" t="str">
        <f t="shared" si="81"/>
        <v>REMERCIEMENTS_VAD_2023</v>
      </c>
      <c r="C4299" s="3" t="str">
        <f>HYPERLINK("https://otsuka-europe-crm.veevavault.com/ui/#object/sent_email__v/VBL00000000S213", "SE-001392033")</f>
        <v>SE-001392033</v>
      </c>
      <c r="D4299" s="4" t="s">
        <v>11</v>
      </c>
      <c r="E4299" s="5">
        <v>0</v>
      </c>
      <c r="F4299" s="5">
        <v>0</v>
      </c>
      <c r="G4299" s="5">
        <v>0</v>
      </c>
      <c r="H4299" s="4" t="s">
        <v>11</v>
      </c>
      <c r="I4299" s="5">
        <v>0</v>
      </c>
      <c r="J4299" s="4">
        <v>45989.358877314815</v>
      </c>
    </row>
    <row r="4300" spans="1:10" x14ac:dyDescent="0.2">
      <c r="A4300" s="2" t="s">
        <v>10</v>
      </c>
      <c r="B4300" s="3" t="str">
        <f t="shared" si="81"/>
        <v>REMERCIEMENTS_VAD_2023</v>
      </c>
      <c r="C4300" s="3" t="str">
        <f>HYPERLINK("https://otsuka-europe-crm.veevavault.com/ui/#object/sent_email__v/VBL00000000R438", "SE-001392068")</f>
        <v>SE-001392068</v>
      </c>
      <c r="D4300" s="4">
        <v>45989.505335648151</v>
      </c>
      <c r="E4300" s="5">
        <v>1</v>
      </c>
      <c r="F4300" s="5">
        <v>1</v>
      </c>
      <c r="G4300" s="5">
        <v>0</v>
      </c>
      <c r="H4300" s="4" t="s">
        <v>11</v>
      </c>
      <c r="I4300" s="5">
        <v>0</v>
      </c>
      <c r="J4300" s="4">
        <v>45989.477523148147</v>
      </c>
    </row>
    <row r="4301" spans="1:10" x14ac:dyDescent="0.2">
      <c r="A4301" s="2" t="s">
        <v>10</v>
      </c>
      <c r="B4301" s="3" t="str">
        <f t="shared" si="81"/>
        <v>REMERCIEMENTS_VAD_2023</v>
      </c>
      <c r="C4301" s="3" t="str">
        <f>HYPERLINK("https://otsuka-europe-crm.veevavault.com/ui/#object/sent_email__v/VBL00000000U186", "SE-001394596")</f>
        <v>SE-001394596</v>
      </c>
      <c r="D4301" s="4">
        <v>45997.846400462964</v>
      </c>
      <c r="E4301" s="5">
        <v>1</v>
      </c>
      <c r="F4301" s="5">
        <v>1</v>
      </c>
      <c r="G4301" s="5">
        <v>0</v>
      </c>
      <c r="H4301" s="4" t="s">
        <v>11</v>
      </c>
      <c r="I4301" s="5">
        <v>0</v>
      </c>
      <c r="J4301" s="4">
        <v>45993.432928240742</v>
      </c>
    </row>
    <row r="4302" spans="1:10" x14ac:dyDescent="0.2">
      <c r="A4302" s="2" t="s">
        <v>10</v>
      </c>
      <c r="B4302" s="3" t="str">
        <f t="shared" si="81"/>
        <v>REMERCIEMENTS_VAD_2023</v>
      </c>
      <c r="C4302" s="3" t="str">
        <f>HYPERLINK("https://otsuka-europe-crm.veevavault.com/ui/#object/sent_email__v/VBL00000000V071", "SE-001394845")</f>
        <v>SE-001394845</v>
      </c>
      <c r="D4302" s="4" t="s">
        <v>11</v>
      </c>
      <c r="E4302" s="5">
        <v>0</v>
      </c>
      <c r="F4302" s="5">
        <v>0</v>
      </c>
      <c r="G4302" s="5">
        <v>0</v>
      </c>
      <c r="H4302" s="4" t="s">
        <v>11</v>
      </c>
      <c r="I4302" s="5">
        <v>0</v>
      </c>
      <c r="J4302" s="4">
        <v>45994.57984953704</v>
      </c>
    </row>
    <row r="4303" spans="1:10" x14ac:dyDescent="0.2">
      <c r="A4303" s="2" t="s">
        <v>10</v>
      </c>
      <c r="B4303" s="3" t="str">
        <f t="shared" si="81"/>
        <v>REMERCIEMENTS_VAD_2023</v>
      </c>
      <c r="C4303" s="3" t="str">
        <f>HYPERLINK("https://otsuka-europe-crm.veevavault.com/ui/#object/sent_email__v/VBL00000000U801", "SE-001395444")</f>
        <v>SE-001395444</v>
      </c>
      <c r="D4303" s="4" t="s">
        <v>11</v>
      </c>
      <c r="E4303" s="5">
        <v>0</v>
      </c>
      <c r="F4303" s="5">
        <v>0</v>
      </c>
      <c r="G4303" s="5">
        <v>0</v>
      </c>
      <c r="H4303" s="4" t="s">
        <v>11</v>
      </c>
      <c r="I4303" s="5">
        <v>0</v>
      </c>
      <c r="J4303" s="4">
        <v>45995.585821759261</v>
      </c>
    </row>
    <row r="4304" spans="1:10" x14ac:dyDescent="0.2">
      <c r="A4304" s="2" t="s">
        <v>10</v>
      </c>
      <c r="B4304" s="3" t="str">
        <f t="shared" si="81"/>
        <v>REMERCIEMENTS_VAD_2023</v>
      </c>
      <c r="C4304" s="3" t="str">
        <f>HYPERLINK("https://otsuka-europe-crm.veevavault.com/ui/#object/sent_email__v/VBL00000000U804", "SE-001395449")</f>
        <v>SE-001395449</v>
      </c>
      <c r="D4304" s="4" t="s">
        <v>11</v>
      </c>
      <c r="E4304" s="5">
        <v>0</v>
      </c>
      <c r="F4304" s="5">
        <v>0</v>
      </c>
      <c r="G4304" s="5">
        <v>0</v>
      </c>
      <c r="H4304" s="4" t="s">
        <v>11</v>
      </c>
      <c r="I4304" s="5">
        <v>0</v>
      </c>
      <c r="J4304" s="4">
        <v>45995.624872685185</v>
      </c>
    </row>
    <row r="4305" spans="1:10" x14ac:dyDescent="0.2">
      <c r="A4305" s="2" t="s">
        <v>10</v>
      </c>
      <c r="B4305" s="3" t="str">
        <f t="shared" si="81"/>
        <v>REMERCIEMENTS_VAD_2023</v>
      </c>
      <c r="C4305" s="3" t="str">
        <f>HYPERLINK("https://otsuka-europe-crm.veevavault.com/ui/#object/sent_email__v/VBL00000000W205", "SE-001395945")</f>
        <v>SE-001395945</v>
      </c>
      <c r="D4305" s="4">
        <v>46000.607662037037</v>
      </c>
      <c r="E4305" s="5">
        <v>1</v>
      </c>
      <c r="F4305" s="5">
        <v>3</v>
      </c>
      <c r="G4305" s="5">
        <v>0</v>
      </c>
      <c r="H4305" s="4" t="s">
        <v>11</v>
      </c>
      <c r="I4305" s="5">
        <v>0</v>
      </c>
      <c r="J4305" s="4">
        <v>46000.435370370367</v>
      </c>
    </row>
    <row r="4306" spans="1:10" x14ac:dyDescent="0.2">
      <c r="A4306" s="2" t="s">
        <v>10</v>
      </c>
      <c r="B4306" s="3" t="str">
        <f t="shared" si="81"/>
        <v>REMERCIEMENTS_VAD_2023</v>
      </c>
      <c r="C4306" s="3" t="str">
        <f>HYPERLINK("https://otsuka-europe-crm.veevavault.com/ui/#object/sent_email__v/VBL00000000W298", "SE-001396111")</f>
        <v>SE-001396111</v>
      </c>
      <c r="D4306" s="4" t="s">
        <v>11</v>
      </c>
      <c r="E4306" s="5">
        <v>0</v>
      </c>
      <c r="F4306" s="5">
        <v>0</v>
      </c>
      <c r="G4306" s="5">
        <v>0</v>
      </c>
      <c r="H4306" s="4" t="s">
        <v>11</v>
      </c>
      <c r="I4306" s="5">
        <v>0</v>
      </c>
      <c r="J4306" s="4">
        <v>46001.4141087963</v>
      </c>
    </row>
    <row r="4307" spans="1:10" x14ac:dyDescent="0.2">
      <c r="A4307" s="2" t="s">
        <v>10</v>
      </c>
      <c r="B4307" s="3" t="str">
        <f t="shared" si="81"/>
        <v>REMERCIEMENTS_VAD_2023</v>
      </c>
      <c r="C4307" s="3" t="str">
        <f>HYPERLINK("https://otsuka-europe-crm.veevavault.com/ui/#object/sent_email__v/VBL00000000Z019", "SE-001396566")</f>
        <v>SE-001396566</v>
      </c>
      <c r="D4307" s="4" t="s">
        <v>11</v>
      </c>
      <c r="E4307" s="5">
        <v>0</v>
      </c>
      <c r="F4307" s="5">
        <v>0</v>
      </c>
      <c r="G4307" s="5">
        <v>0</v>
      </c>
      <c r="H4307" s="4" t="s">
        <v>11</v>
      </c>
      <c r="I4307" s="5">
        <v>0</v>
      </c>
      <c r="J4307" s="4">
        <v>46003.341967592591</v>
      </c>
    </row>
    <row r="4308" spans="1:10" x14ac:dyDescent="0.2">
      <c r="A4308" s="2" t="s">
        <v>10</v>
      </c>
      <c r="B4308" s="3" t="str">
        <f t="shared" si="81"/>
        <v>REMERCIEMENTS_VAD_2023</v>
      </c>
      <c r="C4308" s="3" t="str">
        <f>HYPERLINK("https://otsuka-europe-crm.veevavault.com/ui/#object/sent_email__v/VBL00000000Y028", "SE-001396570")</f>
        <v>SE-001396570</v>
      </c>
      <c r="D4308" s="4" t="s">
        <v>11</v>
      </c>
      <c r="E4308" s="5">
        <v>0</v>
      </c>
      <c r="F4308" s="5">
        <v>0</v>
      </c>
      <c r="G4308" s="5">
        <v>0</v>
      </c>
      <c r="H4308" s="4" t="s">
        <v>11</v>
      </c>
      <c r="I4308" s="5">
        <v>0</v>
      </c>
      <c r="J4308" s="4">
        <v>46003.3903587963</v>
      </c>
    </row>
    <row r="4309" spans="1:10" x14ac:dyDescent="0.2">
      <c r="A4309" s="2" t="s">
        <v>10</v>
      </c>
      <c r="B4309" s="3" t="str">
        <f t="shared" si="81"/>
        <v>REMERCIEMENTS_VAD_2023</v>
      </c>
      <c r="C4309" s="3" t="str">
        <f>HYPERLINK("https://otsuka-europe-crm.veevavault.com/ui/#object/sent_email__v/VBL00000000Z022", "SE-001396575")</f>
        <v>SE-001396575</v>
      </c>
      <c r="D4309" s="4">
        <v>46003.451064814813</v>
      </c>
      <c r="E4309" s="5">
        <v>1</v>
      </c>
      <c r="F4309" s="5">
        <v>1</v>
      </c>
      <c r="G4309" s="5">
        <v>0</v>
      </c>
      <c r="H4309" s="4" t="s">
        <v>11</v>
      </c>
      <c r="I4309" s="5">
        <v>0</v>
      </c>
      <c r="J4309" s="4">
        <v>46003.448113425926</v>
      </c>
    </row>
    <row r="4310" spans="1:10" x14ac:dyDescent="0.2">
      <c r="A4310" s="2" t="s">
        <v>10</v>
      </c>
      <c r="B4310" s="3" t="str">
        <f t="shared" si="81"/>
        <v>REMERCIEMENTS_VAD_2023</v>
      </c>
      <c r="C4310" s="3" t="str">
        <f>HYPERLINK("https://otsuka-europe-crm.veevavault.com/ui/#object/sent_email__v/VBL00000000Y035", "SE-001396586")</f>
        <v>SE-001396586</v>
      </c>
      <c r="D4310" s="4">
        <v>46003.745416666665</v>
      </c>
      <c r="E4310" s="5">
        <v>1</v>
      </c>
      <c r="F4310" s="5">
        <v>2</v>
      </c>
      <c r="G4310" s="5">
        <v>0</v>
      </c>
      <c r="H4310" s="4" t="s">
        <v>11</v>
      </c>
      <c r="I4310" s="5">
        <v>0</v>
      </c>
      <c r="J4310" s="4">
        <v>46003.553090277775</v>
      </c>
    </row>
    <row r="4311" spans="1:10" x14ac:dyDescent="0.2">
      <c r="A4311" s="2" t="s">
        <v>10</v>
      </c>
      <c r="B4311" s="3" t="str">
        <f t="shared" si="81"/>
        <v>REMERCIEMENTS_VAD_2023</v>
      </c>
      <c r="C4311" s="3" t="str">
        <f>HYPERLINK("https://otsuka-europe-crm.veevavault.com/ui/#object/sent_email__v/VBL000000011243", "SE-001396956")</f>
        <v>SE-001396956</v>
      </c>
      <c r="D4311" s="4" t="s">
        <v>11</v>
      </c>
      <c r="E4311" s="5">
        <v>0</v>
      </c>
      <c r="F4311" s="5">
        <v>0</v>
      </c>
      <c r="G4311" s="5">
        <v>0</v>
      </c>
      <c r="H4311" s="4" t="s">
        <v>11</v>
      </c>
      <c r="I4311" s="5">
        <v>0</v>
      </c>
      <c r="J4311" s="4">
        <v>46007.46503472222</v>
      </c>
    </row>
    <row r="4312" spans="1:10" x14ac:dyDescent="0.2">
      <c r="A4312" s="2" t="s">
        <v>10</v>
      </c>
      <c r="B4312" s="3" t="str">
        <f t="shared" si="81"/>
        <v>REMERCIEMENTS_VAD_2023</v>
      </c>
      <c r="C4312" s="3" t="str">
        <f>HYPERLINK("https://otsuka-europe-crm.veevavault.com/ui/#object/sent_email__v/VBL000000010125", "SE-001396967")</f>
        <v>SE-001396967</v>
      </c>
      <c r="D4312" s="4" t="s">
        <v>11</v>
      </c>
      <c r="E4312" s="5">
        <v>0</v>
      </c>
      <c r="F4312" s="5">
        <v>0</v>
      </c>
      <c r="G4312" s="5">
        <v>0</v>
      </c>
      <c r="H4312" s="4" t="s">
        <v>11</v>
      </c>
      <c r="I4312" s="5">
        <v>0</v>
      </c>
      <c r="J4312" s="4">
        <v>46007.644780092596</v>
      </c>
    </row>
    <row r="4313" spans="1:10" x14ac:dyDescent="0.2">
      <c r="A4313" s="2" t="s">
        <v>10</v>
      </c>
      <c r="B4313" s="3" t="str">
        <f t="shared" si="81"/>
        <v>REMERCIEMENTS_VAD_2023</v>
      </c>
      <c r="C4313" s="3" t="str">
        <f>HYPERLINK("https://otsuka-europe-crm.veevavault.com/ui/#object/sent_email__v/VBL000000011720", "SE-001397530")</f>
        <v>SE-001397530</v>
      </c>
      <c r="D4313" s="4">
        <v>46008.922233796293</v>
      </c>
      <c r="E4313" s="5">
        <v>1</v>
      </c>
      <c r="F4313" s="5">
        <v>2</v>
      </c>
      <c r="G4313" s="5">
        <v>0</v>
      </c>
      <c r="H4313" s="4" t="s">
        <v>11</v>
      </c>
      <c r="I4313" s="5">
        <v>0</v>
      </c>
      <c r="J4313" s="4">
        <v>46008.671712962961</v>
      </c>
    </row>
    <row r="4314" spans="1:10" x14ac:dyDescent="0.2">
      <c r="A4314" s="2" t="s">
        <v>10</v>
      </c>
      <c r="B4314" s="3" t="str">
        <f t="shared" si="81"/>
        <v>REMERCIEMENTS_VAD_2023</v>
      </c>
      <c r="C4314" s="3" t="str">
        <f>HYPERLINK("https://otsuka-europe-crm.veevavault.com/ui/#object/sent_email__v/VBL000000011721", "SE-001397531")</f>
        <v>SE-001397531</v>
      </c>
      <c r="D4314" s="4" t="s">
        <v>11</v>
      </c>
      <c r="E4314" s="5">
        <v>0</v>
      </c>
      <c r="F4314" s="5">
        <v>0</v>
      </c>
      <c r="G4314" s="5">
        <v>0</v>
      </c>
      <c r="H4314" s="4" t="s">
        <v>11</v>
      </c>
      <c r="I4314" s="5">
        <v>0</v>
      </c>
      <c r="J4314" s="4">
        <v>46008.671875</v>
      </c>
    </row>
    <row r="4315" spans="1:10" x14ac:dyDescent="0.2">
      <c r="A4315" s="2" t="s">
        <v>10</v>
      </c>
      <c r="B4315" s="3" t="str">
        <f t="shared" si="81"/>
        <v>REMERCIEMENTS_VAD_2023</v>
      </c>
      <c r="C4315" s="3" t="str">
        <f>HYPERLINK("https://otsuka-europe-crm.veevavault.com/ui/#object/sent_email__v/VBL000000012089", "SE-001398090")</f>
        <v>SE-001398090</v>
      </c>
      <c r="D4315" s="4">
        <v>46010.764351851853</v>
      </c>
      <c r="E4315" s="5">
        <v>1</v>
      </c>
      <c r="F4315" s="5">
        <v>1</v>
      </c>
      <c r="G4315" s="5">
        <v>0</v>
      </c>
      <c r="H4315" s="4" t="s">
        <v>11</v>
      </c>
      <c r="I4315" s="5">
        <v>0</v>
      </c>
      <c r="J4315" s="4">
        <v>46010.485752314817</v>
      </c>
    </row>
    <row r="4316" spans="1:10" x14ac:dyDescent="0.2">
      <c r="A4316" s="2" t="s">
        <v>10</v>
      </c>
      <c r="B4316" s="3" t="str">
        <f t="shared" si="81"/>
        <v>REMERCIEMENTS_VAD_2023</v>
      </c>
      <c r="C4316" s="3" t="str">
        <f>HYPERLINK("https://otsuka-europe-crm.veevavault.com/ui/#object/sent_email__v/VBL000000013757", "SE-001399168")</f>
        <v>SE-001399168</v>
      </c>
      <c r="D4316" s="4" t="s">
        <v>11</v>
      </c>
      <c r="E4316" s="5">
        <v>0</v>
      </c>
      <c r="F4316" s="5">
        <v>0</v>
      </c>
      <c r="G4316" s="5">
        <v>0</v>
      </c>
      <c r="H4316" s="4" t="s">
        <v>11</v>
      </c>
      <c r="I4316" s="5">
        <v>0</v>
      </c>
      <c r="J4316" s="4">
        <v>46027.330659722225</v>
      </c>
    </row>
    <row r="4317" spans="1:10" x14ac:dyDescent="0.2">
      <c r="A4317" s="2" t="s">
        <v>10</v>
      </c>
      <c r="B4317" s="3" t="str">
        <f t="shared" si="81"/>
        <v>REMERCIEMENTS_VAD_2023</v>
      </c>
      <c r="C4317" s="3" t="str">
        <f>HYPERLINK("https://otsuka-europe-crm.veevavault.com/ui/#object/sent_email__v/VBL000000012600", "SE-001399196")</f>
        <v>SE-001399196</v>
      </c>
      <c r="D4317" s="4">
        <v>46027.653020833335</v>
      </c>
      <c r="E4317" s="5">
        <v>1</v>
      </c>
      <c r="F4317" s="5">
        <v>1</v>
      </c>
      <c r="G4317" s="5">
        <v>1</v>
      </c>
      <c r="H4317" s="4">
        <v>46027.653020833335</v>
      </c>
      <c r="I4317" s="5">
        <v>1</v>
      </c>
      <c r="J4317" s="4">
        <v>46027.6484375</v>
      </c>
    </row>
    <row r="4318" spans="1:10" x14ac:dyDescent="0.2">
      <c r="A4318" s="2" t="s">
        <v>10</v>
      </c>
      <c r="B4318" s="3" t="str">
        <f t="shared" si="81"/>
        <v>REMERCIEMENTS_VAD_2023</v>
      </c>
      <c r="C4318" s="3" t="str">
        <f>HYPERLINK("https://otsuka-europe-crm.veevavault.com/ui/#object/sent_email__v/VBL000000012798", "SE-001399538")</f>
        <v>SE-001399538</v>
      </c>
      <c r="D4318" s="4" t="s">
        <v>11</v>
      </c>
      <c r="E4318" s="5">
        <v>0</v>
      </c>
      <c r="F4318" s="5">
        <v>0</v>
      </c>
      <c r="G4318" s="5">
        <v>0</v>
      </c>
      <c r="H4318" s="4" t="s">
        <v>11</v>
      </c>
      <c r="I4318" s="5">
        <v>0</v>
      </c>
      <c r="J4318" s="4">
        <v>46031.450185185182</v>
      </c>
    </row>
    <row r="4319" spans="1:10" x14ac:dyDescent="0.2">
      <c r="A4319" s="2" t="s">
        <v>10</v>
      </c>
      <c r="B4319" s="3" t="str">
        <f t="shared" si="81"/>
        <v>REMERCIEMENTS_VAD_2023</v>
      </c>
      <c r="C4319" s="3" t="str">
        <f>HYPERLINK("https://otsuka-europe-crm.veevavault.com/ui/#object/sent_email__v/VBL000000014035", "SE-001399710")</f>
        <v>SE-001399710</v>
      </c>
      <c r="D4319" s="4">
        <v>46034.483055555553</v>
      </c>
      <c r="E4319" s="5">
        <v>1</v>
      </c>
      <c r="F4319" s="5">
        <v>1</v>
      </c>
      <c r="G4319" s="5">
        <v>0</v>
      </c>
      <c r="H4319" s="4" t="s">
        <v>11</v>
      </c>
      <c r="I4319" s="5">
        <v>0</v>
      </c>
      <c r="J4319" s="4">
        <v>46034.44190972222</v>
      </c>
    </row>
    <row r="4320" spans="1:10" x14ac:dyDescent="0.2">
      <c r="A4320" s="2" t="s">
        <v>10</v>
      </c>
      <c r="B4320" s="3" t="str">
        <f t="shared" si="81"/>
        <v>REMERCIEMENTS_VAD_2023</v>
      </c>
      <c r="C4320" s="3" t="str">
        <f>HYPERLINK("https://otsuka-europe-crm.veevavault.com/ui/#object/sent_email__v/VBL000000014095", "SE-001399800")</f>
        <v>SE-001399800</v>
      </c>
      <c r="D4320" s="4">
        <v>46034.750023148146</v>
      </c>
      <c r="E4320" s="5">
        <v>1</v>
      </c>
      <c r="F4320" s="5">
        <v>1</v>
      </c>
      <c r="G4320" s="5">
        <v>0</v>
      </c>
      <c r="H4320" s="4" t="s">
        <v>11</v>
      </c>
      <c r="I4320" s="5">
        <v>0</v>
      </c>
      <c r="J4320" s="4">
        <v>46034.648078703707</v>
      </c>
    </row>
    <row r="4321" spans="1:10" x14ac:dyDescent="0.2">
      <c r="A4321" s="2" t="s">
        <v>10</v>
      </c>
      <c r="B4321" s="3" t="str">
        <f t="shared" si="81"/>
        <v>REMERCIEMENTS_VAD_2023</v>
      </c>
      <c r="C4321" s="3" t="str">
        <f>HYPERLINK("https://otsuka-europe-crm.veevavault.com/ui/#object/sent_email__v/VBL000000014120", "SE-001399845")</f>
        <v>SE-001399845</v>
      </c>
      <c r="D4321" s="4">
        <v>46035.570717592593</v>
      </c>
      <c r="E4321" s="5">
        <v>1</v>
      </c>
      <c r="F4321" s="5">
        <v>1</v>
      </c>
      <c r="G4321" s="5">
        <v>0</v>
      </c>
      <c r="H4321" s="4" t="s">
        <v>11</v>
      </c>
      <c r="I4321" s="5">
        <v>0</v>
      </c>
      <c r="J4321" s="4">
        <v>46035.570555555554</v>
      </c>
    </row>
    <row r="4322" spans="1:10" x14ac:dyDescent="0.2">
      <c r="A4322" s="2" t="s">
        <v>10</v>
      </c>
      <c r="B4322" s="3" t="str">
        <f t="shared" si="81"/>
        <v>REMERCIEMENTS_VAD_2023</v>
      </c>
      <c r="C4322" s="3" t="str">
        <f>HYPERLINK("https://otsuka-europe-crm.veevavault.com/ui/#object/sent_email__v/VBL000000015068", "SE-001400145")</f>
        <v>SE-001400145</v>
      </c>
      <c r="D4322" s="4" t="s">
        <v>11</v>
      </c>
      <c r="E4322" s="5">
        <v>0</v>
      </c>
      <c r="F4322" s="5">
        <v>0</v>
      </c>
      <c r="G4322" s="5">
        <v>0</v>
      </c>
      <c r="H4322" s="4" t="s">
        <v>11</v>
      </c>
      <c r="I4322" s="5">
        <v>0</v>
      </c>
      <c r="J4322" s="4">
        <v>46038.475405092591</v>
      </c>
    </row>
    <row r="4323" spans="1:10" x14ac:dyDescent="0.2">
      <c r="A4323" s="2" t="s">
        <v>10</v>
      </c>
      <c r="B4323" s="3" t="str">
        <f t="shared" si="81"/>
        <v>REMERCIEMENTS_VAD_2023</v>
      </c>
      <c r="C4323" s="3" t="str">
        <f>HYPERLINK("https://otsuka-europe-crm.veevavault.com/ui/#object/sent_email__v/VBL000000016064", "SE-001400146")</f>
        <v>SE-001400146</v>
      </c>
      <c r="D4323" s="4">
        <v>46038.475740740738</v>
      </c>
      <c r="E4323" s="5">
        <v>1</v>
      </c>
      <c r="F4323" s="5">
        <v>2</v>
      </c>
      <c r="G4323" s="5">
        <v>0</v>
      </c>
      <c r="H4323" s="4" t="s">
        <v>11</v>
      </c>
      <c r="I4323" s="5">
        <v>0</v>
      </c>
      <c r="J4323" s="4">
        <v>46038.475555555553</v>
      </c>
    </row>
    <row r="4324" spans="1:10" x14ac:dyDescent="0.2">
      <c r="A4324" s="2" t="s">
        <v>10</v>
      </c>
      <c r="B4324" s="3" t="str">
        <f t="shared" si="81"/>
        <v>REMERCIEMENTS_VAD_2023</v>
      </c>
      <c r="C4324" s="3" t="str">
        <f>HYPERLINK("https://otsuka-europe-crm.veevavault.com/ui/#object/sent_email__v/VBL000000015069", "SE-001400147")</f>
        <v>SE-001400147</v>
      </c>
      <c r="D4324" s="4">
        <v>46041.57135416667</v>
      </c>
      <c r="E4324" s="5">
        <v>1</v>
      </c>
      <c r="F4324" s="5">
        <v>1</v>
      </c>
      <c r="G4324" s="5">
        <v>0</v>
      </c>
      <c r="H4324" s="4" t="s">
        <v>11</v>
      </c>
      <c r="I4324" s="5">
        <v>0</v>
      </c>
      <c r="J4324" s="4">
        <v>46038.475729166668</v>
      </c>
    </row>
    <row r="4325" spans="1:10" x14ac:dyDescent="0.2">
      <c r="A4325" s="2" t="s">
        <v>10</v>
      </c>
      <c r="B4325" s="3" t="str">
        <f t="shared" si="81"/>
        <v>REMERCIEMENTS_VAD_2023</v>
      </c>
      <c r="C4325" s="3" t="str">
        <f>HYPERLINK("https://otsuka-europe-crm.veevavault.com/ui/#object/sent_email__v/VBL000000016065", "SE-001400148")</f>
        <v>SE-001400148</v>
      </c>
      <c r="D4325" s="4">
        <v>46039.474120370367</v>
      </c>
      <c r="E4325" s="5">
        <v>1</v>
      </c>
      <c r="F4325" s="5">
        <v>1</v>
      </c>
      <c r="G4325" s="5">
        <v>0</v>
      </c>
      <c r="H4325" s="4" t="s">
        <v>11</v>
      </c>
      <c r="I4325" s="5">
        <v>0</v>
      </c>
      <c r="J4325" s="4">
        <v>46038.475763888891</v>
      </c>
    </row>
    <row r="4326" spans="1:10" x14ac:dyDescent="0.2">
      <c r="A4326" s="2" t="s">
        <v>10</v>
      </c>
      <c r="B4326" s="3" t="str">
        <f t="shared" si="81"/>
        <v>REMERCIEMENTS_VAD_2023</v>
      </c>
      <c r="C4326" s="3" t="str">
        <f>HYPERLINK("https://otsuka-europe-crm.veevavault.com/ui/#object/sent_email__v/VBL000000016093", "SE-001400207")</f>
        <v>SE-001400207</v>
      </c>
      <c r="D4326" s="4" t="s">
        <v>11</v>
      </c>
      <c r="E4326" s="5">
        <v>0</v>
      </c>
      <c r="F4326" s="5">
        <v>0</v>
      </c>
      <c r="G4326" s="5">
        <v>0</v>
      </c>
      <c r="H4326" s="4" t="s">
        <v>11</v>
      </c>
      <c r="I4326" s="5">
        <v>0</v>
      </c>
      <c r="J4326" s="4">
        <v>46043.42900462963</v>
      </c>
    </row>
    <row r="4327" spans="1:10" x14ac:dyDescent="0.2">
      <c r="A4327" s="2" t="s">
        <v>10</v>
      </c>
      <c r="B4327" s="3" t="str">
        <f t="shared" si="81"/>
        <v>REMERCIEMENTS_VAD_2023</v>
      </c>
      <c r="C4327" s="3" t="str">
        <f>HYPERLINK("https://otsuka-europe-crm.veevavault.com/ui/#object/sent_email__v/VBL000000016102", "SE-001400235")</f>
        <v>SE-001400235</v>
      </c>
      <c r="D4327" s="4" t="s">
        <v>11</v>
      </c>
      <c r="E4327" s="5">
        <v>0</v>
      </c>
      <c r="F4327" s="5">
        <v>0</v>
      </c>
      <c r="G4327" s="5">
        <v>0</v>
      </c>
      <c r="H4327" s="4" t="s">
        <v>11</v>
      </c>
      <c r="I4327" s="5">
        <v>0</v>
      </c>
      <c r="J4327" s="4">
        <v>46043.429270833331</v>
      </c>
    </row>
    <row r="4328" spans="1:10" x14ac:dyDescent="0.2">
      <c r="A4328" s="2" t="s">
        <v>10</v>
      </c>
      <c r="B4328" s="3" t="str">
        <f t="shared" si="81"/>
        <v>REMERCIEMENTS_VAD_2023</v>
      </c>
      <c r="C4328" s="3" t="str">
        <f>HYPERLINK("https://otsuka-europe-crm.veevavault.com/ui/#object/sent_email__v/VBL000000016103", "SE-001400242")</f>
        <v>SE-001400242</v>
      </c>
      <c r="D4328" s="4" t="s">
        <v>11</v>
      </c>
      <c r="E4328" s="5">
        <v>0</v>
      </c>
      <c r="F4328" s="5">
        <v>0</v>
      </c>
      <c r="G4328" s="5">
        <v>0</v>
      </c>
      <c r="H4328" s="4" t="s">
        <v>11</v>
      </c>
      <c r="I4328" s="5">
        <v>0</v>
      </c>
      <c r="J4328" s="4">
        <v>46043.429178240738</v>
      </c>
    </row>
    <row r="4329" spans="1:10" x14ac:dyDescent="0.2">
      <c r="A4329" s="2" t="s">
        <v>10</v>
      </c>
      <c r="B4329" s="3" t="str">
        <f t="shared" si="81"/>
        <v>REMERCIEMENTS_VAD_2023</v>
      </c>
      <c r="C4329" s="3" t="str">
        <f>HYPERLINK("https://otsuka-europe-crm.veevavault.com/ui/#object/sent_email__v/VBL000000015229", "SE-001400444")</f>
        <v>SE-001400444</v>
      </c>
      <c r="D4329" s="4" t="s">
        <v>11</v>
      </c>
      <c r="E4329" s="5">
        <v>0</v>
      </c>
      <c r="F4329" s="5">
        <v>0</v>
      </c>
      <c r="G4329" s="5">
        <v>0</v>
      </c>
      <c r="H4329" s="4" t="s">
        <v>11</v>
      </c>
      <c r="I4329" s="5">
        <v>0</v>
      </c>
      <c r="J4329" s="4">
        <v>46043.429016203707</v>
      </c>
    </row>
    <row r="4330" spans="1:10" x14ac:dyDescent="0.2">
      <c r="A4330" s="2" t="s">
        <v>10</v>
      </c>
      <c r="B4330" s="3" t="str">
        <f t="shared" si="81"/>
        <v>REMERCIEMENTS_VAD_2023</v>
      </c>
      <c r="C4330" s="3" t="str">
        <f>HYPERLINK("https://otsuka-europe-crm.veevavault.com/ui/#object/sent_email__v/VBL000000015230", "SE-001400445")</f>
        <v>SE-001400445</v>
      </c>
      <c r="D4330" s="4" t="s">
        <v>11</v>
      </c>
      <c r="E4330" s="5">
        <v>0</v>
      </c>
      <c r="F4330" s="5">
        <v>0</v>
      </c>
      <c r="G4330" s="5">
        <v>0</v>
      </c>
      <c r="H4330" s="4" t="s">
        <v>11</v>
      </c>
      <c r="I4330" s="5">
        <v>0</v>
      </c>
      <c r="J4330" s="4">
        <v>46043.429050925923</v>
      </c>
    </row>
    <row r="4331" spans="1:10" x14ac:dyDescent="0.2">
      <c r="A4331" s="2" t="s">
        <v>10</v>
      </c>
      <c r="B4331" s="3" t="str">
        <f t="shared" si="81"/>
        <v>REMERCIEMENTS_VAD_2023</v>
      </c>
      <c r="C4331" s="3" t="str">
        <f>HYPERLINK("https://otsuka-europe-crm.veevavault.com/ui/#object/sent_email__v/VBL000000016375", "SE-001400637")</f>
        <v>SE-001400637</v>
      </c>
      <c r="D4331" s="4" t="s">
        <v>11</v>
      </c>
      <c r="E4331" s="5">
        <v>0</v>
      </c>
      <c r="F4331" s="5">
        <v>0</v>
      </c>
      <c r="G4331" s="5">
        <v>0</v>
      </c>
      <c r="H4331" s="4" t="s">
        <v>11</v>
      </c>
      <c r="I4331" s="5">
        <v>0</v>
      </c>
      <c r="J4331" s="4">
        <v>46043.434999999998</v>
      </c>
    </row>
    <row r="4332" spans="1:10" x14ac:dyDescent="0.2">
      <c r="A4332" s="2" t="s">
        <v>10</v>
      </c>
      <c r="B4332" s="3" t="str">
        <f t="shared" si="81"/>
        <v>REMERCIEMENTS_VAD_2023</v>
      </c>
      <c r="C4332" s="3" t="str">
        <f>HYPERLINK("https://otsuka-europe-crm.veevavault.com/ui/#object/sent_email__v/VBL000000016381", "SE-001400648")</f>
        <v>SE-001400648</v>
      </c>
      <c r="D4332" s="4">
        <v>46043.587291666663</v>
      </c>
      <c r="E4332" s="5">
        <v>1</v>
      </c>
      <c r="F4332" s="5">
        <v>1</v>
      </c>
      <c r="G4332" s="5">
        <v>0</v>
      </c>
      <c r="H4332" s="4" t="s">
        <v>11</v>
      </c>
      <c r="I4332" s="5">
        <v>0</v>
      </c>
      <c r="J4332" s="4">
        <v>46043.501087962963</v>
      </c>
    </row>
    <row r="4333" spans="1:10" x14ac:dyDescent="0.2">
      <c r="A4333" s="2" t="s">
        <v>10</v>
      </c>
      <c r="B4333" s="3" t="str">
        <f t="shared" si="81"/>
        <v>REMERCIEMENTS_VAD_2023</v>
      </c>
      <c r="C4333" s="3" t="str">
        <f>HYPERLINK("https://otsuka-europe-crm.veevavault.com/ui/#object/sent_email__v/VBL000000015272", "SE-001400650")</f>
        <v>SE-001400650</v>
      </c>
      <c r="D4333" s="4">
        <v>46043.526493055557</v>
      </c>
      <c r="E4333" s="5">
        <v>1</v>
      </c>
      <c r="F4333" s="5">
        <v>1</v>
      </c>
      <c r="G4333" s="5">
        <v>0</v>
      </c>
      <c r="H4333" s="4" t="s">
        <v>11</v>
      </c>
      <c r="I4333" s="5">
        <v>0</v>
      </c>
      <c r="J4333" s="4">
        <v>46043.507916666669</v>
      </c>
    </row>
    <row r="4334" spans="1:10" x14ac:dyDescent="0.2">
      <c r="A4334" s="2" t="s">
        <v>10</v>
      </c>
      <c r="B4334" s="3" t="str">
        <f t="shared" si="81"/>
        <v>REMERCIEMENTS_VAD_2023</v>
      </c>
      <c r="C4334" s="3" t="str">
        <f>HYPERLINK("https://otsuka-europe-crm.veevavault.com/ui/#object/sent_email__v/VBL000000016550", "SE-001400857")</f>
        <v>SE-001400857</v>
      </c>
      <c r="D4334" s="4" t="s">
        <v>11</v>
      </c>
      <c r="E4334" s="5">
        <v>0</v>
      </c>
      <c r="F4334" s="5">
        <v>0</v>
      </c>
      <c r="G4334" s="5">
        <v>0</v>
      </c>
      <c r="H4334" s="4" t="s">
        <v>11</v>
      </c>
      <c r="I4334" s="5">
        <v>0</v>
      </c>
      <c r="J4334" s="4">
        <v>46045.473252314812</v>
      </c>
    </row>
    <row r="4335" spans="1:10" x14ac:dyDescent="0.2">
      <c r="A4335" s="2" t="s">
        <v>10</v>
      </c>
      <c r="B4335" s="3" t="str">
        <f t="shared" si="81"/>
        <v>REMERCIEMENTS_VAD_2023</v>
      </c>
      <c r="C4335" s="3" t="str">
        <f>HYPERLINK("https://otsuka-europe-crm.veevavault.com/ui/#object/sent_email__v/VBL000000017047", "SE-001402005")</f>
        <v>SE-001402005</v>
      </c>
      <c r="D4335" s="4" t="s">
        <v>11</v>
      </c>
      <c r="E4335" s="5">
        <v>0</v>
      </c>
      <c r="F4335" s="5">
        <v>0</v>
      </c>
      <c r="G4335" s="5">
        <v>0</v>
      </c>
      <c r="H4335" s="4" t="s">
        <v>11</v>
      </c>
      <c r="I4335" s="5">
        <v>0</v>
      </c>
      <c r="J4335" s="4">
        <v>46049.631956018522</v>
      </c>
    </row>
    <row r="4336" spans="1:10" x14ac:dyDescent="0.2">
      <c r="A4336" s="2" t="s">
        <v>10</v>
      </c>
      <c r="B4336" s="3" t="str">
        <f t="shared" si="81"/>
        <v>REMERCIEMENTS_VAD_2023</v>
      </c>
      <c r="C4336" s="3" t="str">
        <f>HYPERLINK("https://otsuka-europe-crm.veevavault.com/ui/#object/sent_email__v/VBL000000017067", "SE-001402060")</f>
        <v>SE-001402060</v>
      </c>
      <c r="D4336" s="4" t="s">
        <v>11</v>
      </c>
      <c r="E4336" s="5">
        <v>0</v>
      </c>
      <c r="F4336" s="5">
        <v>0</v>
      </c>
      <c r="G4336" s="5">
        <v>0</v>
      </c>
      <c r="H4336" s="4" t="s">
        <v>11</v>
      </c>
      <c r="I4336" s="5">
        <v>0</v>
      </c>
      <c r="J4336" s="4">
        <v>46050.419108796297</v>
      </c>
    </row>
    <row r="4337" spans="1:10" x14ac:dyDescent="0.2">
      <c r="A4337" s="2" t="s">
        <v>10</v>
      </c>
      <c r="B4337" s="3" t="str">
        <f t="shared" si="81"/>
        <v>REMERCIEMENTS_VAD_2023</v>
      </c>
      <c r="C4337" s="3" t="str">
        <f>HYPERLINK("https://otsuka-europe-crm.veevavault.com/ui/#object/sent_email__v/VBL000000018094", "SE-001402188")</f>
        <v>SE-001402188</v>
      </c>
      <c r="D4337" s="4">
        <v>46051.527777777781</v>
      </c>
      <c r="E4337" s="5">
        <v>1</v>
      </c>
      <c r="F4337" s="5">
        <v>1</v>
      </c>
      <c r="G4337" s="5">
        <v>0</v>
      </c>
      <c r="H4337" s="4" t="s">
        <v>11</v>
      </c>
      <c r="I4337" s="5">
        <v>0</v>
      </c>
      <c r="J4337" s="4">
        <v>46051.525949074072</v>
      </c>
    </row>
    <row r="4338" spans="1:10" x14ac:dyDescent="0.2">
      <c r="A4338" s="2" t="s">
        <v>10</v>
      </c>
      <c r="B4338" s="3" t="str">
        <f t="shared" si="81"/>
        <v>REMERCIEMENTS_VAD_2023</v>
      </c>
      <c r="C4338" s="3" t="str">
        <f>HYPERLINK("https://otsuka-europe-crm.veevavault.com/ui/#object/sent_email__v/VBL000000017152", "SE-001402199")</f>
        <v>SE-001402199</v>
      </c>
      <c r="D4338" s="4" t="s">
        <v>11</v>
      </c>
      <c r="E4338" s="5">
        <v>0</v>
      </c>
      <c r="F4338" s="5">
        <v>0</v>
      </c>
      <c r="G4338" s="5">
        <v>0</v>
      </c>
      <c r="H4338" s="4" t="s">
        <v>11</v>
      </c>
      <c r="I4338" s="5">
        <v>0</v>
      </c>
      <c r="J4338" s="4">
        <v>46051.573009259257</v>
      </c>
    </row>
    <row r="4339" spans="1:10" x14ac:dyDescent="0.2">
      <c r="A4339" s="2" t="s">
        <v>10</v>
      </c>
      <c r="B4339" s="3" t="str">
        <f t="shared" si="81"/>
        <v>REMERCIEMENTS_VAD_2023</v>
      </c>
      <c r="C4339" s="3" t="str">
        <f>HYPERLINK("https://otsuka-europe-crm.veevavault.com/ui/#object/sent_email__v/VBL000000017174", "SE-001402233")</f>
        <v>SE-001402233</v>
      </c>
      <c r="D4339" s="4" t="s">
        <v>11</v>
      </c>
      <c r="E4339" s="5">
        <v>0</v>
      </c>
      <c r="F4339" s="5">
        <v>0</v>
      </c>
      <c r="G4339" s="5">
        <v>0</v>
      </c>
      <c r="H4339" s="4" t="s">
        <v>11</v>
      </c>
      <c r="I4339" s="5">
        <v>0</v>
      </c>
      <c r="J4339" s="4">
        <v>46051.658449074072</v>
      </c>
    </row>
    <row r="4340" spans="1:10" x14ac:dyDescent="0.2">
      <c r="A4340" s="2" t="s">
        <v>10</v>
      </c>
      <c r="B4340" s="3" t="str">
        <f t="shared" si="81"/>
        <v>REMERCIEMENTS_VAD_2023</v>
      </c>
      <c r="C4340" s="3" t="str">
        <f>HYPERLINK("https://otsuka-europe-crm.veevavault.com/ui/#object/sent_email__v/VBL000000018120", "SE-001402241")</f>
        <v>SE-001402241</v>
      </c>
      <c r="D4340" s="4" t="s">
        <v>11</v>
      </c>
      <c r="E4340" s="5">
        <v>0</v>
      </c>
      <c r="F4340" s="5">
        <v>0</v>
      </c>
      <c r="G4340" s="5">
        <v>0</v>
      </c>
      <c r="H4340" s="4" t="s">
        <v>11</v>
      </c>
      <c r="I4340" s="5">
        <v>0</v>
      </c>
      <c r="J4340" s="4">
        <v>46051.680011574077</v>
      </c>
    </row>
    <row r="4341" spans="1:10" x14ac:dyDescent="0.2">
      <c r="A4341" s="2" t="s">
        <v>10</v>
      </c>
      <c r="B4341" s="3" t="str">
        <f t="shared" si="81"/>
        <v>REMERCIEMENTS_VAD_2023</v>
      </c>
      <c r="C4341" s="3" t="str">
        <f>HYPERLINK("https://otsuka-europe-crm.veevavault.com/ui/#object/sent_email__v/VBL000000019022", "SE-001402283")</f>
        <v>SE-001402283</v>
      </c>
      <c r="D4341" s="4" t="s">
        <v>11</v>
      </c>
      <c r="E4341" s="5">
        <v>0</v>
      </c>
      <c r="F4341" s="5">
        <v>0</v>
      </c>
      <c r="G4341" s="5">
        <v>0</v>
      </c>
      <c r="H4341" s="4" t="s">
        <v>11</v>
      </c>
      <c r="I4341" s="5">
        <v>0</v>
      </c>
      <c r="J4341" s="4">
        <v>46052.40902777778</v>
      </c>
    </row>
    <row r="4342" spans="1:10" x14ac:dyDescent="0.2">
      <c r="A4342" s="2" t="s">
        <v>10</v>
      </c>
      <c r="B4342" s="3" t="str">
        <f t="shared" ref="B4342:B4373" si="82">HYPERLINK("https://otsuka-europe-crm.veevavault.com/ui/#object/approved_document__v/V5OZ04ASG4G02Y7", "REMERCIEMENTS_VAD_2023")</f>
        <v>REMERCIEMENTS_VAD_2023</v>
      </c>
      <c r="C4342" s="3" t="str">
        <f>HYPERLINK("https://otsuka-europe-crm.veevavault.com/ui/#object/sent_email__v/VBL000000019025", "SE-001402291")</f>
        <v>SE-001402291</v>
      </c>
      <c r="D4342" s="4">
        <v>46052.579942129632</v>
      </c>
      <c r="E4342" s="5">
        <v>1</v>
      </c>
      <c r="F4342" s="5">
        <v>1</v>
      </c>
      <c r="G4342" s="5">
        <v>1</v>
      </c>
      <c r="H4342" s="4">
        <v>46052.63890046296</v>
      </c>
      <c r="I4342" s="5">
        <v>3</v>
      </c>
      <c r="J4342" s="4">
        <v>46052.42628472222</v>
      </c>
    </row>
    <row r="4343" spans="1:10" x14ac:dyDescent="0.2">
      <c r="A4343" s="2" t="s">
        <v>10</v>
      </c>
      <c r="B4343" s="3" t="str">
        <f t="shared" si="82"/>
        <v>REMERCIEMENTS_VAD_2023</v>
      </c>
      <c r="C4343" s="3" t="str">
        <f>HYPERLINK("https://otsuka-europe-crm.veevavault.com/ui/#object/sent_email__v/VBL000000019027", "SE-001402297")</f>
        <v>SE-001402297</v>
      </c>
      <c r="D4343" s="4" t="s">
        <v>11</v>
      </c>
      <c r="E4343" s="5">
        <v>0</v>
      </c>
      <c r="F4343" s="5">
        <v>0</v>
      </c>
      <c r="G4343" s="5">
        <v>0</v>
      </c>
      <c r="H4343" s="4" t="s">
        <v>11</v>
      </c>
      <c r="I4343" s="5">
        <v>0</v>
      </c>
      <c r="J4343" s="4">
        <v>46052.446608796294</v>
      </c>
    </row>
    <row r="4344" spans="1:10" x14ac:dyDescent="0.2">
      <c r="A4344" s="2" t="s">
        <v>10</v>
      </c>
      <c r="B4344" s="3" t="str">
        <f t="shared" si="82"/>
        <v>REMERCIEMENTS_VAD_2023</v>
      </c>
      <c r="C4344" s="3" t="str">
        <f>HYPERLINK("https://otsuka-europe-crm.veevavault.com/ui/#object/sent_email__v/VBL000000019029", "SE-001402299")</f>
        <v>SE-001402299</v>
      </c>
      <c r="D4344" s="4">
        <v>46052.64334490741</v>
      </c>
      <c r="E4344" s="5">
        <v>1</v>
      </c>
      <c r="F4344" s="5">
        <v>2</v>
      </c>
      <c r="G4344" s="5">
        <v>0</v>
      </c>
      <c r="H4344" s="4" t="s">
        <v>11</v>
      </c>
      <c r="I4344" s="5">
        <v>0</v>
      </c>
      <c r="J4344" s="4">
        <v>46052.476504629631</v>
      </c>
    </row>
    <row r="4345" spans="1:10" x14ac:dyDescent="0.2">
      <c r="A4345" s="2" t="s">
        <v>10</v>
      </c>
      <c r="B4345" s="3" t="str">
        <f t="shared" si="82"/>
        <v>REMERCIEMENTS_VAD_2023</v>
      </c>
      <c r="C4345" s="3" t="str">
        <f>HYPERLINK("https://otsuka-europe-crm.veevavault.com/ui/#object/sent_email__v/VBL00000001A032", "SE-001402322")</f>
        <v>SE-001402322</v>
      </c>
      <c r="D4345" s="4">
        <v>46052.878981481481</v>
      </c>
      <c r="E4345" s="5">
        <v>1</v>
      </c>
      <c r="F4345" s="5">
        <v>3</v>
      </c>
      <c r="G4345" s="5">
        <v>0</v>
      </c>
      <c r="H4345" s="4" t="s">
        <v>11</v>
      </c>
      <c r="I4345" s="5">
        <v>0</v>
      </c>
      <c r="J4345" s="4">
        <v>46052.606377314813</v>
      </c>
    </row>
    <row r="4346" spans="1:10" x14ac:dyDescent="0.2">
      <c r="A4346" s="2" t="s">
        <v>10</v>
      </c>
      <c r="B4346" s="3" t="str">
        <f t="shared" si="82"/>
        <v>REMERCIEMENTS_VAD_2023</v>
      </c>
      <c r="C4346" s="3" t="str">
        <f>HYPERLINK("https://otsuka-europe-crm.veevavault.com/ui/#object/sent_email__v/VBL000000019045", "SE-001402323")</f>
        <v>SE-001402323</v>
      </c>
      <c r="D4346" s="4" t="s">
        <v>11</v>
      </c>
      <c r="E4346" s="5">
        <v>0</v>
      </c>
      <c r="F4346" s="5">
        <v>0</v>
      </c>
      <c r="G4346" s="5">
        <v>0</v>
      </c>
      <c r="H4346" s="4" t="s">
        <v>11</v>
      </c>
      <c r="I4346" s="5">
        <v>0</v>
      </c>
      <c r="J4346" s="4">
        <v>46052.633923611109</v>
      </c>
    </row>
    <row r="4347" spans="1:10" x14ac:dyDescent="0.2">
      <c r="A4347" s="2" t="s">
        <v>10</v>
      </c>
      <c r="B4347" s="3" t="str">
        <f t="shared" si="82"/>
        <v>REMERCIEMENTS_VAD_2023</v>
      </c>
      <c r="C4347" s="3" t="str">
        <f>HYPERLINK("https://otsuka-europe-crm.veevavault.com/ui/#object/sent_email__v/VBL000000019086", "SE-001402388")</f>
        <v>SE-001402388</v>
      </c>
      <c r="D4347" s="4">
        <v>46070.607800925929</v>
      </c>
      <c r="E4347" s="5">
        <v>1</v>
      </c>
      <c r="F4347" s="5">
        <v>2</v>
      </c>
      <c r="G4347" s="5">
        <v>0</v>
      </c>
      <c r="H4347" s="4" t="s">
        <v>11</v>
      </c>
      <c r="I4347" s="5">
        <v>0</v>
      </c>
      <c r="J4347" s="4">
        <v>46055.679849537039</v>
      </c>
    </row>
    <row r="4348" spans="1:10" x14ac:dyDescent="0.2">
      <c r="A4348" s="2" t="s">
        <v>10</v>
      </c>
      <c r="B4348" s="3" t="str">
        <f t="shared" si="82"/>
        <v>REMERCIEMENTS_VAD_2023</v>
      </c>
      <c r="C4348" s="3" t="str">
        <f>HYPERLINK("https://otsuka-europe-crm.veevavault.com/ui/#object/sent_email__v/VBL000000019257", "SE-001402599")</f>
        <v>SE-001402599</v>
      </c>
      <c r="D4348" s="4" t="s">
        <v>11</v>
      </c>
      <c r="E4348" s="5">
        <v>0</v>
      </c>
      <c r="F4348" s="5">
        <v>0</v>
      </c>
      <c r="G4348" s="5">
        <v>0</v>
      </c>
      <c r="H4348" s="4" t="s">
        <v>11</v>
      </c>
      <c r="I4348" s="5">
        <v>0</v>
      </c>
      <c r="J4348" s="4">
        <v>46056.504293981481</v>
      </c>
    </row>
    <row r="4349" spans="1:10" x14ac:dyDescent="0.2">
      <c r="A4349" s="2" t="s">
        <v>10</v>
      </c>
      <c r="B4349" s="3" t="str">
        <f t="shared" si="82"/>
        <v>REMERCIEMENTS_VAD_2023</v>
      </c>
      <c r="C4349" s="3" t="str">
        <f>HYPERLINK("https://otsuka-europe-crm.veevavault.com/ui/#object/sent_email__v/VBL000000019268", "SE-001402623")</f>
        <v>SE-001402623</v>
      </c>
      <c r="D4349" s="4" t="s">
        <v>11</v>
      </c>
      <c r="E4349" s="5">
        <v>0</v>
      </c>
      <c r="F4349" s="5">
        <v>0</v>
      </c>
      <c r="G4349" s="5">
        <v>0</v>
      </c>
      <c r="H4349" s="4" t="s">
        <v>11</v>
      </c>
      <c r="I4349" s="5">
        <v>0</v>
      </c>
      <c r="J4349" s="4">
        <v>46057.332569444443</v>
      </c>
    </row>
    <row r="4350" spans="1:10" x14ac:dyDescent="0.2">
      <c r="A4350" s="2" t="s">
        <v>10</v>
      </c>
      <c r="B4350" s="3" t="str">
        <f t="shared" si="82"/>
        <v>REMERCIEMENTS_VAD_2023</v>
      </c>
      <c r="C4350" s="3" t="str">
        <f>HYPERLINK("https://otsuka-europe-crm.veevavault.com/ui/#object/sent_email__v/VBL00000001A151", "SE-001402664")</f>
        <v>SE-001402664</v>
      </c>
      <c r="D4350" s="4" t="s">
        <v>11</v>
      </c>
      <c r="E4350" s="5">
        <v>0</v>
      </c>
      <c r="F4350" s="5">
        <v>0</v>
      </c>
      <c r="G4350" s="5">
        <v>0</v>
      </c>
      <c r="H4350" s="4" t="s">
        <v>11</v>
      </c>
      <c r="I4350" s="5">
        <v>0</v>
      </c>
      <c r="J4350" s="4">
        <v>46057.509409722225</v>
      </c>
    </row>
    <row r="4351" spans="1:10" x14ac:dyDescent="0.2">
      <c r="A4351" s="2" t="s">
        <v>10</v>
      </c>
      <c r="B4351" s="3" t="str">
        <f t="shared" si="82"/>
        <v>REMERCIEMENTS_VAD_2023</v>
      </c>
      <c r="C4351" s="3" t="str">
        <f>HYPERLINK("https://otsuka-europe-crm.veevavault.com/ui/#object/sent_email__v/VBL000000019281", "SE-001402667")</f>
        <v>SE-001402667</v>
      </c>
      <c r="D4351" s="4">
        <v>46061.542037037034</v>
      </c>
      <c r="E4351" s="5">
        <v>1</v>
      </c>
      <c r="F4351" s="5">
        <v>1</v>
      </c>
      <c r="G4351" s="5">
        <v>0</v>
      </c>
      <c r="H4351" s="4" t="s">
        <v>11</v>
      </c>
      <c r="I4351" s="5">
        <v>0</v>
      </c>
      <c r="J4351" s="4">
        <v>46057.532071759262</v>
      </c>
    </row>
    <row r="4352" spans="1:10" x14ac:dyDescent="0.2">
      <c r="A4352" s="2" t="s">
        <v>10</v>
      </c>
      <c r="B4352" s="3" t="str">
        <f t="shared" si="82"/>
        <v>REMERCIEMENTS_VAD_2023</v>
      </c>
      <c r="C4352" s="3" t="str">
        <f>HYPERLINK("https://otsuka-europe-crm.veevavault.com/ui/#object/sent_email__v/VBL000000019331", "SE-001402733")</f>
        <v>SE-001402733</v>
      </c>
      <c r="D4352" s="4">
        <v>46062.38553240741</v>
      </c>
      <c r="E4352" s="5">
        <v>1</v>
      </c>
      <c r="F4352" s="5">
        <v>4</v>
      </c>
      <c r="G4352" s="5">
        <v>0</v>
      </c>
      <c r="H4352" s="4" t="s">
        <v>11</v>
      </c>
      <c r="I4352" s="5">
        <v>0</v>
      </c>
      <c r="J4352" s="4">
        <v>46058.416851851849</v>
      </c>
    </row>
    <row r="4353" spans="1:10" x14ac:dyDescent="0.2">
      <c r="A4353" s="2" t="s">
        <v>10</v>
      </c>
      <c r="B4353" s="3" t="str">
        <f t="shared" si="82"/>
        <v>REMERCIEMENTS_VAD_2023</v>
      </c>
      <c r="C4353" s="3" t="str">
        <f>HYPERLINK("https://otsuka-europe-crm.veevavault.com/ui/#object/sent_email__v/VBL000000019362", "SE-001402787")</f>
        <v>SE-001402787</v>
      </c>
      <c r="D4353" s="4">
        <v>46078.353379629632</v>
      </c>
      <c r="E4353" s="5">
        <v>1</v>
      </c>
      <c r="F4353" s="5">
        <v>3</v>
      </c>
      <c r="G4353" s="5">
        <v>0</v>
      </c>
      <c r="H4353" s="4" t="s">
        <v>11</v>
      </c>
      <c r="I4353" s="5">
        <v>0</v>
      </c>
      <c r="J4353" s="4">
        <v>46058.57203703704</v>
      </c>
    </row>
    <row r="4354" spans="1:10" x14ac:dyDescent="0.2">
      <c r="A4354" s="2" t="s">
        <v>10</v>
      </c>
      <c r="B4354" s="3" t="str">
        <f t="shared" si="82"/>
        <v>REMERCIEMENTS_VAD_2023</v>
      </c>
      <c r="C4354" s="3" t="str">
        <f>HYPERLINK("https://otsuka-europe-crm.veevavault.com/ui/#object/sent_email__v/VBL00000001C002", "SE-001402939")</f>
        <v>SE-001402939</v>
      </c>
      <c r="D4354" s="4" t="s">
        <v>11</v>
      </c>
      <c r="E4354" s="5">
        <v>0</v>
      </c>
      <c r="F4354" s="5">
        <v>0</v>
      </c>
      <c r="G4354" s="5">
        <v>0</v>
      </c>
      <c r="H4354" s="4" t="s">
        <v>11</v>
      </c>
      <c r="I4354" s="5">
        <v>0</v>
      </c>
      <c r="J4354" s="4">
        <v>46058.877766203703</v>
      </c>
    </row>
    <row r="4355" spans="1:10" x14ac:dyDescent="0.2">
      <c r="A4355" s="2" t="s">
        <v>10</v>
      </c>
      <c r="B4355" s="3" t="str">
        <f t="shared" si="82"/>
        <v>REMERCIEMENTS_VAD_2023</v>
      </c>
      <c r="C4355" s="3" t="str">
        <f>HYPERLINK("https://otsuka-europe-crm.veevavault.com/ui/#object/sent_email__v/VBL00000001C051", "SE-001403035")</f>
        <v>SE-001403035</v>
      </c>
      <c r="D4355" s="4">
        <v>46059.464756944442</v>
      </c>
      <c r="E4355" s="5">
        <v>1</v>
      </c>
      <c r="F4355" s="5">
        <v>2</v>
      </c>
      <c r="G4355" s="5">
        <v>0</v>
      </c>
      <c r="H4355" s="4" t="s">
        <v>11</v>
      </c>
      <c r="I4355" s="5">
        <v>0</v>
      </c>
      <c r="J4355" s="4">
        <v>46059.427210648151</v>
      </c>
    </row>
    <row r="4356" spans="1:10" x14ac:dyDescent="0.2">
      <c r="A4356" s="2" t="s">
        <v>10</v>
      </c>
      <c r="B4356" s="3" t="str">
        <f t="shared" si="82"/>
        <v>REMERCIEMENTS_VAD_2023</v>
      </c>
      <c r="C4356" s="3" t="str">
        <f>HYPERLINK("https://otsuka-europe-crm.veevavault.com/ui/#object/sent_email__v/VBL00000001C368", "SE-001403685")</f>
        <v>SE-001403685</v>
      </c>
      <c r="D4356" s="4">
        <v>46064.37159722222</v>
      </c>
      <c r="E4356" s="5">
        <v>1</v>
      </c>
      <c r="F4356" s="5">
        <v>2</v>
      </c>
      <c r="G4356" s="5">
        <v>0</v>
      </c>
      <c r="H4356" s="4" t="s">
        <v>11</v>
      </c>
      <c r="I4356" s="5">
        <v>0</v>
      </c>
      <c r="J4356" s="4">
        <v>46064.353055555555</v>
      </c>
    </row>
    <row r="4357" spans="1:10" x14ac:dyDescent="0.2">
      <c r="A4357" s="2" t="s">
        <v>10</v>
      </c>
      <c r="B4357" s="3" t="str">
        <f t="shared" si="82"/>
        <v>REMERCIEMENTS_VAD_2023</v>
      </c>
      <c r="C4357" s="3" t="str">
        <f>HYPERLINK("https://otsuka-europe-crm.veevavault.com/ui/#object/sent_email__v/VBL00000001B554", "SE-001403917")</f>
        <v>SE-001403917</v>
      </c>
      <c r="D4357" s="4">
        <v>46065.472500000003</v>
      </c>
      <c r="E4357" s="5">
        <v>1</v>
      </c>
      <c r="F4357" s="5">
        <v>1</v>
      </c>
      <c r="G4357" s="5">
        <v>0</v>
      </c>
      <c r="H4357" s="4" t="s">
        <v>11</v>
      </c>
      <c r="I4357" s="5">
        <v>0</v>
      </c>
      <c r="J4357" s="4">
        <v>46065.467488425929</v>
      </c>
    </row>
    <row r="4358" spans="1:10" x14ac:dyDescent="0.2">
      <c r="A4358" s="2" t="s">
        <v>10</v>
      </c>
      <c r="B4358" s="3" t="str">
        <f t="shared" si="82"/>
        <v>REMERCIEMENTS_VAD_2023</v>
      </c>
      <c r="C4358" s="3" t="str">
        <f>HYPERLINK("https://otsuka-europe-crm.veevavault.com/ui/#object/sent_email__v/VBL00000001C497", "SE-001403940")</f>
        <v>SE-001403940</v>
      </c>
      <c r="D4358" s="4" t="s">
        <v>11</v>
      </c>
      <c r="E4358" s="5">
        <v>0</v>
      </c>
      <c r="F4358" s="5">
        <v>0</v>
      </c>
      <c r="G4358" s="5">
        <v>0</v>
      </c>
      <c r="H4358" s="4" t="s">
        <v>11</v>
      </c>
      <c r="I4358" s="5">
        <v>0</v>
      </c>
      <c r="J4358" s="4">
        <v>46065.562372685185</v>
      </c>
    </row>
    <row r="4359" spans="1:10" x14ac:dyDescent="0.2">
      <c r="A4359" s="2" t="s">
        <v>10</v>
      </c>
      <c r="B4359" s="3" t="str">
        <f t="shared" si="82"/>
        <v>REMERCIEMENTS_VAD_2023</v>
      </c>
      <c r="C4359" s="3" t="str">
        <f>HYPERLINK("https://otsuka-europe-crm.veevavault.com/ui/#object/sent_email__v/VBL00000001B583", "SE-001403964")</f>
        <v>SE-001403964</v>
      </c>
      <c r="D4359" s="4" t="s">
        <v>11</v>
      </c>
      <c r="E4359" s="5">
        <v>0</v>
      </c>
      <c r="F4359" s="5">
        <v>0</v>
      </c>
      <c r="G4359" s="5">
        <v>0</v>
      </c>
      <c r="H4359" s="4" t="s">
        <v>11</v>
      </c>
      <c r="I4359" s="5">
        <v>0</v>
      </c>
      <c r="J4359" s="4">
        <v>46065.669965277775</v>
      </c>
    </row>
    <row r="4360" spans="1:10" x14ac:dyDescent="0.2">
      <c r="A4360" s="2" t="s">
        <v>10</v>
      </c>
      <c r="B4360" s="3" t="str">
        <f t="shared" si="82"/>
        <v>REMERCIEMENTS_VAD_2023</v>
      </c>
      <c r="C4360" s="3" t="str">
        <f>HYPERLINK("https://otsuka-europe-crm.veevavault.com/ui/#object/sent_email__v/VBL00000001E001", "SE-001403973")</f>
        <v>SE-001403973</v>
      </c>
      <c r="D4360" s="4">
        <v>46066.127187500002</v>
      </c>
      <c r="E4360" s="5">
        <v>1</v>
      </c>
      <c r="F4360" s="5">
        <v>1</v>
      </c>
      <c r="G4360" s="5">
        <v>0</v>
      </c>
      <c r="H4360" s="4" t="s">
        <v>11</v>
      </c>
      <c r="I4360" s="5">
        <v>0</v>
      </c>
      <c r="J4360" s="4">
        <v>46065.834710648145</v>
      </c>
    </row>
    <row r="4361" spans="1:10" x14ac:dyDescent="0.2">
      <c r="A4361" s="2" t="s">
        <v>10</v>
      </c>
      <c r="B4361" s="3" t="str">
        <f t="shared" si="82"/>
        <v>REMERCIEMENTS_VAD_2023</v>
      </c>
      <c r="C4361" s="3" t="str">
        <f>HYPERLINK("https://otsuka-europe-crm.veevavault.com/ui/#object/sent_email__v/VBL00000001E074", "SE-001404056")</f>
        <v>SE-001404056</v>
      </c>
      <c r="D4361" s="4">
        <v>46066.509872685187</v>
      </c>
      <c r="E4361" s="5">
        <v>1</v>
      </c>
      <c r="F4361" s="5">
        <v>1</v>
      </c>
      <c r="G4361" s="5">
        <v>0</v>
      </c>
      <c r="H4361" s="4" t="s">
        <v>11</v>
      </c>
      <c r="I4361" s="5">
        <v>0</v>
      </c>
      <c r="J4361" s="4">
        <v>46066.456770833334</v>
      </c>
    </row>
    <row r="4362" spans="1:10" x14ac:dyDescent="0.2">
      <c r="A4362" s="2" t="s">
        <v>10</v>
      </c>
      <c r="B4362" s="3" t="str">
        <f t="shared" si="82"/>
        <v>REMERCIEMENTS_VAD_2023</v>
      </c>
      <c r="C4362" s="3" t="str">
        <f>HYPERLINK("https://otsuka-europe-crm.veevavault.com/ui/#object/sent_email__v/VBL00000001E338", "SE-001404485")</f>
        <v>SE-001404485</v>
      </c>
      <c r="D4362" s="4">
        <v>46078.588958333334</v>
      </c>
      <c r="E4362" s="5">
        <v>1</v>
      </c>
      <c r="F4362" s="5">
        <v>1</v>
      </c>
      <c r="G4362" s="5">
        <v>0</v>
      </c>
      <c r="H4362" s="4" t="s">
        <v>11</v>
      </c>
      <c r="I4362" s="5">
        <v>0</v>
      </c>
      <c r="J4362" s="4">
        <v>46071.355624999997</v>
      </c>
    </row>
    <row r="4363" spans="1:10" x14ac:dyDescent="0.2">
      <c r="A4363" s="2" t="s">
        <v>10</v>
      </c>
      <c r="B4363" s="3" t="str">
        <f t="shared" si="82"/>
        <v>REMERCIEMENTS_VAD_2023</v>
      </c>
      <c r="C4363" s="3" t="str">
        <f>HYPERLINK("https://otsuka-europe-crm.veevavault.com/ui/#object/sent_email__v/VBL00000001E349", "SE-001404496")</f>
        <v>SE-001404496</v>
      </c>
      <c r="D4363" s="4">
        <v>46079.398217592592</v>
      </c>
      <c r="E4363" s="5">
        <v>1</v>
      </c>
      <c r="F4363" s="5">
        <v>3</v>
      </c>
      <c r="G4363" s="5">
        <v>0</v>
      </c>
      <c r="H4363" s="4" t="s">
        <v>11</v>
      </c>
      <c r="I4363" s="5">
        <v>0</v>
      </c>
      <c r="J4363" s="4">
        <v>46071.404016203705</v>
      </c>
    </row>
    <row r="4364" spans="1:10" x14ac:dyDescent="0.2">
      <c r="A4364" s="2" t="s">
        <v>10</v>
      </c>
      <c r="B4364" s="3" t="str">
        <f t="shared" si="82"/>
        <v>REMERCIEMENTS_VAD_2023</v>
      </c>
      <c r="C4364" s="3" t="str">
        <f>HYPERLINK("https://otsuka-europe-crm.veevavault.com/ui/#object/sent_email__v/VBL00000001D212", "SE-001404510")</f>
        <v>SE-001404510</v>
      </c>
      <c r="D4364" s="4">
        <v>46072.492627314816</v>
      </c>
      <c r="E4364" s="5">
        <v>1</v>
      </c>
      <c r="F4364" s="5">
        <v>4</v>
      </c>
      <c r="G4364" s="5">
        <v>0</v>
      </c>
      <c r="H4364" s="4" t="s">
        <v>11</v>
      </c>
      <c r="I4364" s="5">
        <v>0</v>
      </c>
      <c r="J4364" s="4">
        <v>46071.505567129629</v>
      </c>
    </row>
    <row r="4365" spans="1:10" x14ac:dyDescent="0.2">
      <c r="A4365" s="2" t="s">
        <v>10</v>
      </c>
      <c r="B4365" s="3" t="str">
        <f t="shared" si="82"/>
        <v>REMERCIEMENTS_VAD_2023</v>
      </c>
      <c r="C4365" s="3" t="str">
        <f>HYPERLINK("https://otsuka-europe-crm.veevavault.com/ui/#object/sent_email__v/VBL00000001G023", "SE-001405188")</f>
        <v>SE-001405188</v>
      </c>
      <c r="D4365" s="4">
        <v>46073.348194444443</v>
      </c>
      <c r="E4365" s="5">
        <v>1</v>
      </c>
      <c r="F4365" s="5">
        <v>1</v>
      </c>
      <c r="G4365" s="5">
        <v>0</v>
      </c>
      <c r="H4365" s="4" t="s">
        <v>11</v>
      </c>
      <c r="I4365" s="5">
        <v>0</v>
      </c>
      <c r="J4365" s="4">
        <v>46073.347488425927</v>
      </c>
    </row>
    <row r="4366" spans="1:10" x14ac:dyDescent="0.2">
      <c r="A4366" s="2" t="s">
        <v>10</v>
      </c>
      <c r="B4366" s="3" t="str">
        <f t="shared" si="82"/>
        <v>REMERCIEMENTS_VAD_2023</v>
      </c>
      <c r="C4366" s="3" t="str">
        <f>HYPERLINK("https://otsuka-europe-crm.veevavault.com/ui/#object/sent_email__v/VBL00000001G228", "SE-001405413")</f>
        <v>SE-001405413</v>
      </c>
      <c r="D4366" s="4">
        <v>46073.77851851852</v>
      </c>
      <c r="E4366" s="5">
        <v>1</v>
      </c>
      <c r="F4366" s="5">
        <v>1</v>
      </c>
      <c r="G4366" s="5">
        <v>0</v>
      </c>
      <c r="H4366" s="4" t="s">
        <v>11</v>
      </c>
      <c r="I4366" s="5">
        <v>0</v>
      </c>
      <c r="J4366" s="4">
        <v>46073.526122685187</v>
      </c>
    </row>
    <row r="4367" spans="1:10" x14ac:dyDescent="0.2">
      <c r="A4367" s="2" t="s">
        <v>10</v>
      </c>
      <c r="B4367" s="3" t="str">
        <f t="shared" si="82"/>
        <v>REMERCIEMENTS_VAD_2023</v>
      </c>
      <c r="C4367" s="3" t="str">
        <f>HYPERLINK("https://otsuka-europe-crm.veevavault.com/ui/#object/sent_email__v/VBL00000001F029", "SE-001405414")</f>
        <v>SE-001405414</v>
      </c>
      <c r="D4367" s="4" t="s">
        <v>11</v>
      </c>
      <c r="E4367" s="5">
        <v>0</v>
      </c>
      <c r="F4367" s="5">
        <v>0</v>
      </c>
      <c r="G4367" s="5">
        <v>0</v>
      </c>
      <c r="H4367" s="4" t="s">
        <v>11</v>
      </c>
      <c r="I4367" s="5">
        <v>0</v>
      </c>
      <c r="J4367" s="4">
        <v>46073.52648148148</v>
      </c>
    </row>
    <row r="4368" spans="1:10" x14ac:dyDescent="0.2">
      <c r="A4368" s="2" t="s">
        <v>10</v>
      </c>
      <c r="B4368" s="3" t="str">
        <f t="shared" si="82"/>
        <v>REMERCIEMENTS_VAD_2023</v>
      </c>
      <c r="C4368" s="3" t="str">
        <f>HYPERLINK("https://otsuka-europe-crm.veevavault.com/ui/#object/sent_email__v/VBL00000001G291", "SE-001405547")</f>
        <v>SE-001405547</v>
      </c>
      <c r="D4368" s="4">
        <v>46076.415370370371</v>
      </c>
      <c r="E4368" s="5">
        <v>1</v>
      </c>
      <c r="F4368" s="5">
        <v>2</v>
      </c>
      <c r="G4368" s="5">
        <v>0</v>
      </c>
      <c r="H4368" s="4" t="s">
        <v>11</v>
      </c>
      <c r="I4368" s="5">
        <v>0</v>
      </c>
      <c r="J4368" s="4">
        <v>46076.385833333334</v>
      </c>
    </row>
    <row r="4369" spans="1:10" x14ac:dyDescent="0.2">
      <c r="A4369" s="2" t="s">
        <v>10</v>
      </c>
      <c r="B4369" s="3" t="str">
        <f t="shared" si="82"/>
        <v>REMERCIEMENTS_VAD_2023</v>
      </c>
      <c r="C4369" s="3" t="str">
        <f>HYPERLINK("https://otsuka-europe-crm.veevavault.com/ui/#object/sent_email__v/VBL00000001G292", "SE-001405551")</f>
        <v>SE-001405551</v>
      </c>
      <c r="D4369" s="4" t="s">
        <v>11</v>
      </c>
      <c r="E4369" s="5">
        <v>0</v>
      </c>
      <c r="F4369" s="5">
        <v>0</v>
      </c>
      <c r="G4369" s="5">
        <v>0</v>
      </c>
      <c r="H4369" s="4" t="s">
        <v>11</v>
      </c>
      <c r="I4369" s="5">
        <v>0</v>
      </c>
      <c r="J4369" s="4">
        <v>46076.430891203701</v>
      </c>
    </row>
    <row r="4370" spans="1:10" x14ac:dyDescent="0.2">
      <c r="A4370" s="2" t="s">
        <v>10</v>
      </c>
      <c r="B4370" s="3" t="str">
        <f t="shared" si="82"/>
        <v>REMERCIEMENTS_VAD_2023</v>
      </c>
      <c r="C4370" s="3" t="str">
        <f>HYPERLINK("https://otsuka-europe-crm.veevavault.com/ui/#object/sent_email__v/VBL00000001F316", "SE-001405974")</f>
        <v>SE-001405974</v>
      </c>
      <c r="D4370" s="4" t="s">
        <v>11</v>
      </c>
      <c r="E4370" s="5">
        <v>0</v>
      </c>
      <c r="F4370" s="5">
        <v>0</v>
      </c>
      <c r="G4370" s="5">
        <v>0</v>
      </c>
      <c r="H4370" s="4" t="s">
        <v>11</v>
      </c>
      <c r="I4370" s="5">
        <v>0</v>
      </c>
      <c r="J4370" s="4">
        <v>46077.429062499999</v>
      </c>
    </row>
    <row r="4371" spans="1:10" x14ac:dyDescent="0.2">
      <c r="A4371" s="2" t="s">
        <v>10</v>
      </c>
      <c r="B4371" s="3" t="str">
        <f t="shared" si="82"/>
        <v>REMERCIEMENTS_VAD_2023</v>
      </c>
      <c r="C4371" s="3" t="str">
        <f>HYPERLINK("https://otsuka-europe-crm.veevavault.com/ui/#object/sent_email__v/VBL00000001F552", "SE-001406556")</f>
        <v>SE-001406556</v>
      </c>
      <c r="D4371" s="4" t="s">
        <v>11</v>
      </c>
      <c r="E4371" s="5">
        <v>0</v>
      </c>
      <c r="F4371" s="5">
        <v>0</v>
      </c>
      <c r="G4371" s="5">
        <v>0</v>
      </c>
      <c r="H4371" s="4" t="s">
        <v>11</v>
      </c>
      <c r="I4371" s="5">
        <v>0</v>
      </c>
      <c r="J4371" s="4">
        <v>46078.557962962965</v>
      </c>
    </row>
    <row r="4372" spans="1:10" x14ac:dyDescent="0.2">
      <c r="A4372" s="2" t="s">
        <v>10</v>
      </c>
      <c r="B4372" s="3" t="str">
        <f t="shared" si="82"/>
        <v>REMERCIEMENTS_VAD_2023</v>
      </c>
      <c r="C4372" s="3" t="str">
        <f>HYPERLINK("https://otsuka-europe-crm.veevavault.com/ui/#object/sent_email__v/VBL00000001G855", "SE-001406570")</f>
        <v>SE-001406570</v>
      </c>
      <c r="D4372" s="4" t="s">
        <v>11</v>
      </c>
      <c r="E4372" s="5">
        <v>0</v>
      </c>
      <c r="F4372" s="5">
        <v>0</v>
      </c>
      <c r="G4372" s="5">
        <v>0</v>
      </c>
      <c r="H4372" s="4" t="s">
        <v>11</v>
      </c>
      <c r="I4372" s="5">
        <v>0</v>
      </c>
      <c r="J4372" s="4">
        <v>46078.567349537036</v>
      </c>
    </row>
    <row r="4373" spans="1:10" x14ac:dyDescent="0.2">
      <c r="A4373" s="2" t="s">
        <v>10</v>
      </c>
      <c r="B4373" s="3" t="str">
        <f t="shared" si="82"/>
        <v>REMERCIEMENTS_VAD_2023</v>
      </c>
      <c r="C4373" s="3" t="str">
        <f>HYPERLINK("https://otsuka-europe-crm.veevavault.com/ui/#object/sent_email__v/VBL00000001G886", "SE-001406634")</f>
        <v>SE-001406634</v>
      </c>
      <c r="D4373" s="4" t="s">
        <v>11</v>
      </c>
      <c r="E4373" s="5">
        <v>0</v>
      </c>
      <c r="F4373" s="5">
        <v>0</v>
      </c>
      <c r="G4373" s="5">
        <v>0</v>
      </c>
      <c r="H4373" s="4" t="s">
        <v>11</v>
      </c>
      <c r="I4373" s="5">
        <v>0</v>
      </c>
      <c r="J4373" s="4">
        <v>46079.434120370373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2026-03-26T14:40:12Z</dcterms:created>
  <dcterms:modified xsi:type="dcterms:W3CDTF">2026-03-26T14:40:24Z</dcterms:modified>
</cp:coreProperties>
</file>